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xico_New\Construction &amp; Real Estate\Real Estate\Comps\"/>
    </mc:Choice>
  </mc:AlternateContent>
  <xr:revisionPtr revIDLastSave="0" documentId="13_ncr:1_{E846A2C4-41E1-41CB-80EB-E9DE5BCB4287}" xr6:coauthVersionLast="41" xr6:coauthVersionMax="41" xr10:uidLastSave="{00000000-0000-0000-0000-000000000000}"/>
  <bookViews>
    <workbookView xWindow="28680" yWindow="-120" windowWidth="29040" windowHeight="16440" tabRatio="601" firstSheet="1" activeTab="1" xr2:uid="{00000000-000D-0000-FFFF-FFFF00000000}"/>
  </bookViews>
  <sheets>
    <sheet name="Consensus Non-BTG Coverage" sheetId="5" state="hidden" r:id="rId1"/>
    <sheet name="Comps" sheetId="1" r:id="rId2"/>
    <sheet name="Bloomberg" sheetId="3" state="hidden" r:id="rId3"/>
    <sheet name="Global Properties" sheetId="7" state="hidden" r:id="rId4"/>
    <sheet name="Disclaimers" sheetId="8" r:id="rId5"/>
  </sheets>
  <definedNames>
    <definedName name="BloombergCode" localSheetId="3">'Global Properties'!$F$1:$F$65532</definedName>
    <definedName name="BloombergCode">#REF!</definedName>
    <definedName name="BloombergItem" localSheetId="3">'Global Properties'!$A$4:$CR$4</definedName>
    <definedName name="BloombergItem">#REF!</definedName>
    <definedName name="COMP1">#REF!</definedName>
    <definedName name="COMP2" localSheetId="3">'Global Properties'!$E$7:$U$39</definedName>
    <definedName name="COMP2">#REF!</definedName>
    <definedName name="CompanyCode" localSheetId="3">'Global Properties'!$AP:$AP</definedName>
    <definedName name="CompanyCode">#REF!</definedName>
    <definedName name="_xlnm.Database" localSheetId="3">'Global Properties'!$AQ:$AQ</definedName>
    <definedName name="_xlnm.Database">#REF!</definedName>
    <definedName name="Date">#REF!</definedName>
    <definedName name="EVEbExPetroVale" localSheetId="3">'Global Properties'!#REF!</definedName>
    <definedName name="EVEbExPetroVale">#REF!</definedName>
    <definedName name="IBrXexPetroAndVale" localSheetId="3">'Global Properties'!#REF!</definedName>
    <definedName name="IBrXexPetroAndVale">#REF!</definedName>
    <definedName name="Index" localSheetId="3">'Global Properties'!$2:$2</definedName>
    <definedName name="Index">#REF!</definedName>
    <definedName name="PEExPetroVale" localSheetId="3">'Global Properties'!#REF!</definedName>
    <definedName name="PEExPetroVale">#REF!</definedName>
    <definedName name="PeriodEnd" localSheetId="3">'Global Properties'!$6:$6</definedName>
    <definedName name="PeriodEnd">#REF!</definedName>
    <definedName name="_xlnm.Print_Area" localSheetId="1">Comps!$D$6:$BB$28</definedName>
    <definedName name="_xlnm.Print_Area" localSheetId="3">'Global Properties'!$E$1:$AN$29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7" i="7" l="1"/>
  <c r="BJ37" i="7"/>
  <c r="BL37" i="7"/>
  <c r="BN37" i="7"/>
  <c r="BP37" i="7"/>
  <c r="BR37" i="7"/>
  <c r="BT37" i="7"/>
  <c r="CI37" i="7"/>
  <c r="BB37" i="7"/>
  <c r="AZ37" i="7"/>
  <c r="BI37" i="7"/>
  <c r="BK37" i="7"/>
  <c r="BM37" i="7"/>
  <c r="BO37" i="7"/>
  <c r="BQ37" i="7"/>
  <c r="BS37" i="7"/>
  <c r="BV37" i="7"/>
  <c r="BC37" i="7"/>
  <c r="BA37" i="7"/>
  <c r="AY37" i="7"/>
  <c r="G37" i="7" l="1"/>
  <c r="AB37" i="7" s="1"/>
  <c r="AV37" i="7"/>
  <c r="AR37" i="7"/>
  <c r="E37" i="7"/>
  <c r="B37" i="7"/>
  <c r="AT37" i="7" l="1"/>
  <c r="AX37" i="7"/>
  <c r="AN37" i="7"/>
  <c r="S37" i="7"/>
  <c r="U37" i="7"/>
  <c r="W37" i="7"/>
  <c r="Y37" i="7"/>
  <c r="AA37" i="7"/>
  <c r="T37" i="7"/>
  <c r="V37" i="7"/>
  <c r="X37" i="7"/>
  <c r="Z37" i="7"/>
  <c r="A37" i="7"/>
  <c r="BE36" i="7"/>
  <c r="D37" i="7"/>
  <c r="AU37" i="7"/>
  <c r="AW37" i="7"/>
  <c r="BI36" i="7"/>
  <c r="BK36" i="7"/>
  <c r="BM36" i="7"/>
  <c r="BO36" i="7"/>
  <c r="BQ36" i="7"/>
  <c r="BS36" i="7"/>
  <c r="BV36" i="7"/>
  <c r="BC36" i="7"/>
  <c r="BA36" i="7"/>
  <c r="AY36" i="7"/>
  <c r="AS37" i="7"/>
  <c r="BJ36" i="7"/>
  <c r="BL36" i="7"/>
  <c r="BN36" i="7"/>
  <c r="BP36" i="7"/>
  <c r="BR36" i="7"/>
  <c r="BT36" i="7"/>
  <c r="CI36" i="7"/>
  <c r="BB36" i="7"/>
  <c r="AZ36" i="7"/>
  <c r="AV36" i="7"/>
  <c r="H37" i="7" l="1"/>
  <c r="AX36" i="7"/>
  <c r="AW36" i="7"/>
  <c r="AR36" i="7"/>
  <c r="AT36" i="7" l="1"/>
  <c r="G36" i="7"/>
  <c r="AA36" i="7" s="1"/>
  <c r="AS36" i="7"/>
  <c r="E36" i="7"/>
  <c r="AU36" i="7"/>
  <c r="B36" i="7"/>
  <c r="T36" i="7" l="1"/>
  <c r="X36" i="7"/>
  <c r="AB36" i="7"/>
  <c r="V36" i="7"/>
  <c r="Z36" i="7"/>
  <c r="AN36" i="7"/>
  <c r="S36" i="7"/>
  <c r="U36" i="7"/>
  <c r="W36" i="7"/>
  <c r="Y36" i="7"/>
  <c r="A36" i="7"/>
  <c r="BE35" i="7"/>
  <c r="D36" i="7"/>
  <c r="BJ35" i="7"/>
  <c r="BL35" i="7"/>
  <c r="BN35" i="7"/>
  <c r="BP35" i="7"/>
  <c r="BR35" i="7"/>
  <c r="BT35" i="7"/>
  <c r="CI35" i="7"/>
  <c r="BB35" i="7"/>
  <c r="AZ35" i="7"/>
  <c r="AV35" i="7"/>
  <c r="BI35" i="7"/>
  <c r="BK35" i="7"/>
  <c r="BM35" i="7"/>
  <c r="BO35" i="7"/>
  <c r="BQ35" i="7"/>
  <c r="BS35" i="7"/>
  <c r="BV35" i="7"/>
  <c r="BC35" i="7"/>
  <c r="BA35" i="7"/>
  <c r="AY35" i="7"/>
  <c r="H36" i="7" l="1"/>
  <c r="AX35" i="7"/>
  <c r="AW35" i="7"/>
  <c r="AR35" i="7"/>
  <c r="AT35" i="7" l="1"/>
  <c r="G35" i="7"/>
  <c r="AB35" i="7" s="1"/>
  <c r="AS35" i="7"/>
  <c r="E35" i="7"/>
  <c r="AU35" i="7"/>
  <c r="B35" i="7"/>
  <c r="V35" i="7" l="1"/>
  <c r="T35" i="7"/>
  <c r="X35" i="7"/>
  <c r="AN35" i="7"/>
  <c r="S35" i="7"/>
  <c r="U35" i="7"/>
  <c r="W35" i="7"/>
  <c r="Y35" i="7"/>
  <c r="AA35" i="7"/>
  <c r="Z35" i="7"/>
  <c r="A35" i="7"/>
  <c r="BE34" i="7"/>
  <c r="D35" i="7"/>
  <c r="BJ34" i="7"/>
  <c r="BL34" i="7"/>
  <c r="BN34" i="7"/>
  <c r="BP34" i="7"/>
  <c r="BR34" i="7"/>
  <c r="BT34" i="7"/>
  <c r="CI34" i="7"/>
  <c r="BB34" i="7"/>
  <c r="AZ34" i="7"/>
  <c r="AV34" i="7"/>
  <c r="BI34" i="7"/>
  <c r="BK34" i="7"/>
  <c r="BM34" i="7"/>
  <c r="BO34" i="7"/>
  <c r="BQ34" i="7"/>
  <c r="BS34" i="7"/>
  <c r="BV34" i="7"/>
  <c r="BC34" i="7"/>
  <c r="BA34" i="7"/>
  <c r="AY34" i="7"/>
  <c r="H35" i="7" l="1"/>
  <c r="AX34" i="7"/>
  <c r="AW34" i="7"/>
  <c r="AR34" i="7"/>
  <c r="AT34" i="7" l="1"/>
  <c r="G34" i="7"/>
  <c r="AB34" i="7" s="1"/>
  <c r="AS34" i="7"/>
  <c r="E34" i="7"/>
  <c r="AU34" i="7"/>
  <c r="B34" i="7"/>
  <c r="AN34" i="7" l="1"/>
  <c r="S34" i="7"/>
  <c r="U34" i="7"/>
  <c r="W34" i="7"/>
  <c r="Y34" i="7"/>
  <c r="AA34" i="7"/>
  <c r="T34" i="7"/>
  <c r="V34" i="7"/>
  <c r="X34" i="7"/>
  <c r="Z34" i="7"/>
  <c r="A34" i="7"/>
  <c r="BE33" i="7"/>
  <c r="D34" i="7"/>
  <c r="BJ33" i="7"/>
  <c r="BL33" i="7"/>
  <c r="BN33" i="7"/>
  <c r="BP33" i="7"/>
  <c r="BR33" i="7"/>
  <c r="BT33" i="7"/>
  <c r="CI33" i="7"/>
  <c r="BB33" i="7"/>
  <c r="AZ33" i="7"/>
  <c r="AV33" i="7"/>
  <c r="BI33" i="7"/>
  <c r="BK33" i="7"/>
  <c r="BM33" i="7"/>
  <c r="BO33" i="7"/>
  <c r="BQ33" i="7"/>
  <c r="BS33" i="7"/>
  <c r="BV33" i="7"/>
  <c r="BC33" i="7"/>
  <c r="BA33" i="7"/>
  <c r="AY33" i="7"/>
  <c r="H34" i="7" l="1"/>
  <c r="AX33" i="7"/>
  <c r="AW33" i="7"/>
  <c r="AR33" i="7"/>
  <c r="AT33" i="7" l="1"/>
  <c r="G33" i="7"/>
  <c r="AA33" i="7" s="1"/>
  <c r="AS33" i="7"/>
  <c r="E33" i="7"/>
  <c r="AU33" i="7"/>
  <c r="B33" i="7"/>
  <c r="V33" i="7" l="1"/>
  <c r="T33" i="7"/>
  <c r="X33" i="7"/>
  <c r="AB33" i="7"/>
  <c r="Z33" i="7"/>
  <c r="AN33" i="7"/>
  <c r="S33" i="7"/>
  <c r="U33" i="7"/>
  <c r="W33" i="7"/>
  <c r="Y33" i="7"/>
  <c r="A33" i="7"/>
  <c r="BE32" i="7"/>
  <c r="D33" i="7"/>
  <c r="BJ32" i="7"/>
  <c r="BL32" i="7"/>
  <c r="BN32" i="7"/>
  <c r="BP32" i="7"/>
  <c r="BR32" i="7"/>
  <c r="BT32" i="7"/>
  <c r="CI32" i="7"/>
  <c r="BB32" i="7"/>
  <c r="AZ32" i="7"/>
  <c r="AV32" i="7"/>
  <c r="BI32" i="7"/>
  <c r="BK32" i="7"/>
  <c r="BM32" i="7"/>
  <c r="BO32" i="7"/>
  <c r="BQ32" i="7"/>
  <c r="BS32" i="7"/>
  <c r="BV32" i="7"/>
  <c r="BC32" i="7"/>
  <c r="BA32" i="7"/>
  <c r="AY32" i="7"/>
  <c r="H33" i="7" l="1"/>
  <c r="AX32" i="7"/>
  <c r="AW32" i="7"/>
  <c r="AR32" i="7"/>
  <c r="AT32" i="7" l="1"/>
  <c r="G32" i="7"/>
  <c r="AA32" i="7" s="1"/>
  <c r="AS32" i="7"/>
  <c r="E32" i="7"/>
  <c r="AU32" i="7"/>
  <c r="B32" i="7"/>
  <c r="V32" i="7" l="1"/>
  <c r="Z32" i="7"/>
  <c r="T32" i="7"/>
  <c r="X32" i="7"/>
  <c r="AB32" i="7"/>
  <c r="AN32" i="7"/>
  <c r="S32" i="7"/>
  <c r="U32" i="7"/>
  <c r="W32" i="7"/>
  <c r="Y32" i="7"/>
  <c r="A32" i="7"/>
  <c r="BE31" i="7"/>
  <c r="D32" i="7"/>
  <c r="BJ31" i="7"/>
  <c r="BL31" i="7"/>
  <c r="BN31" i="7"/>
  <c r="BP31" i="7"/>
  <c r="BR31" i="7"/>
  <c r="BT31" i="7"/>
  <c r="CI31" i="7"/>
  <c r="BB31" i="7"/>
  <c r="AZ31" i="7"/>
  <c r="AV31" i="7"/>
  <c r="BI31" i="7"/>
  <c r="BK31" i="7"/>
  <c r="BM31" i="7"/>
  <c r="BO31" i="7"/>
  <c r="BQ31" i="7"/>
  <c r="BS31" i="7"/>
  <c r="BV31" i="7"/>
  <c r="BC31" i="7"/>
  <c r="BA31" i="7"/>
  <c r="AY31" i="7"/>
  <c r="H32" i="7" l="1"/>
  <c r="AX31" i="7"/>
  <c r="AW31" i="7"/>
  <c r="AR31" i="7"/>
  <c r="AT31" i="7" l="1"/>
  <c r="G31" i="7"/>
  <c r="AB31" i="7" s="1"/>
  <c r="AS31" i="7"/>
  <c r="E31" i="7"/>
  <c r="AU31" i="7"/>
  <c r="B31" i="7"/>
  <c r="AN31" i="7" l="1"/>
  <c r="S31" i="7"/>
  <c r="U31" i="7"/>
  <c r="W31" i="7"/>
  <c r="Y31" i="7"/>
  <c r="AA31" i="7"/>
  <c r="T31" i="7"/>
  <c r="V31" i="7"/>
  <c r="X31" i="7"/>
  <c r="Z31" i="7"/>
  <c r="A31" i="7"/>
  <c r="AN30" i="7"/>
  <c r="BE28" i="7"/>
  <c r="D31" i="7"/>
  <c r="BI28" i="7"/>
  <c r="BK28" i="7"/>
  <c r="BM28" i="7"/>
  <c r="BO28" i="7"/>
  <c r="BQ28" i="7"/>
  <c r="BS28" i="7"/>
  <c r="BV28" i="7"/>
  <c r="BC28" i="7"/>
  <c r="BA28" i="7"/>
  <c r="AY28" i="7"/>
  <c r="BJ28" i="7"/>
  <c r="BL28" i="7"/>
  <c r="BN28" i="7"/>
  <c r="BP28" i="7"/>
  <c r="BR28" i="7"/>
  <c r="BT28" i="7"/>
  <c r="CI28" i="7"/>
  <c r="BB28" i="7"/>
  <c r="AZ28" i="7"/>
  <c r="AV28" i="7"/>
  <c r="H31" i="7" l="1"/>
  <c r="AX28" i="7"/>
  <c r="AW28" i="7"/>
  <c r="AR28" i="7"/>
  <c r="AT28" i="7" l="1"/>
  <c r="G28" i="7"/>
  <c r="AB28" i="7" s="1"/>
  <c r="AS28" i="7"/>
  <c r="E28" i="7"/>
  <c r="AU28" i="7"/>
  <c r="B28" i="7"/>
  <c r="AN28" i="7" l="1"/>
  <c r="S28" i="7"/>
  <c r="U28" i="7"/>
  <c r="W28" i="7"/>
  <c r="Y28" i="7"/>
  <c r="AA28" i="7"/>
  <c r="T28" i="7"/>
  <c r="V28" i="7"/>
  <c r="X28" i="7"/>
  <c r="Z28" i="7"/>
  <c r="A28" i="7"/>
  <c r="BE27" i="7"/>
  <c r="D28" i="7"/>
  <c r="BJ27" i="7"/>
  <c r="BL27" i="7"/>
  <c r="BN27" i="7"/>
  <c r="BP27" i="7"/>
  <c r="BR27" i="7"/>
  <c r="BT27" i="7"/>
  <c r="CI27" i="7"/>
  <c r="BB27" i="7"/>
  <c r="AZ27" i="7"/>
  <c r="AV27" i="7"/>
  <c r="BI27" i="7"/>
  <c r="BK27" i="7"/>
  <c r="BM27" i="7"/>
  <c r="BO27" i="7"/>
  <c r="BQ27" i="7"/>
  <c r="BS27" i="7"/>
  <c r="BV27" i="7"/>
  <c r="BC27" i="7"/>
  <c r="BA27" i="7"/>
  <c r="AY27" i="7"/>
  <c r="H28" i="7" l="1"/>
  <c r="AX27" i="7"/>
  <c r="AW27" i="7"/>
  <c r="AR27" i="7"/>
  <c r="AT27" i="7" l="1"/>
  <c r="G27" i="7"/>
  <c r="AB27" i="7" s="1"/>
  <c r="AS27" i="7"/>
  <c r="E27" i="7"/>
  <c r="AU27" i="7"/>
  <c r="B27" i="7"/>
  <c r="AN27" i="7" l="1"/>
  <c r="S27" i="7"/>
  <c r="U27" i="7"/>
  <c r="W27" i="7"/>
  <c r="Y27" i="7"/>
  <c r="AA27" i="7"/>
  <c r="T27" i="7"/>
  <c r="V27" i="7"/>
  <c r="X27" i="7"/>
  <c r="Z27" i="7"/>
  <c r="A27" i="7"/>
  <c r="BE26" i="7"/>
  <c r="D27" i="7"/>
  <c r="BJ26" i="7"/>
  <c r="BL26" i="7"/>
  <c r="BN26" i="7"/>
  <c r="BP26" i="7"/>
  <c r="BR26" i="7"/>
  <c r="BT26" i="7"/>
  <c r="CI26" i="7"/>
  <c r="BB26" i="7"/>
  <c r="AZ26" i="7"/>
  <c r="AV26" i="7"/>
  <c r="BI26" i="7"/>
  <c r="BK26" i="7"/>
  <c r="BM26" i="7"/>
  <c r="BO26" i="7"/>
  <c r="BQ26" i="7"/>
  <c r="BS26" i="7"/>
  <c r="BV26" i="7"/>
  <c r="BC26" i="7"/>
  <c r="BA26" i="7"/>
  <c r="AY26" i="7"/>
  <c r="H27" i="7" l="1"/>
  <c r="AX26" i="7"/>
  <c r="AW26" i="7"/>
  <c r="AR26" i="7"/>
  <c r="AT26" i="7" l="1"/>
  <c r="G26" i="7"/>
  <c r="AA26" i="7" s="1"/>
  <c r="AS26" i="7"/>
  <c r="E26" i="7"/>
  <c r="AU26" i="7"/>
  <c r="B26" i="7"/>
  <c r="V26" i="7" l="1"/>
  <c r="T26" i="7"/>
  <c r="X26" i="7"/>
  <c r="AB26" i="7"/>
  <c r="Z26" i="7"/>
  <c r="AN26" i="7"/>
  <c r="S26" i="7"/>
  <c r="U26" i="7"/>
  <c r="W26" i="7"/>
  <c r="Y26" i="7"/>
  <c r="A26" i="7"/>
  <c r="BE25" i="7"/>
  <c r="D26" i="7"/>
  <c r="BJ25" i="7"/>
  <c r="BL25" i="7"/>
  <c r="BN25" i="7"/>
  <c r="BP25" i="7"/>
  <c r="BR25" i="7"/>
  <c r="BT25" i="7"/>
  <c r="CI25" i="7"/>
  <c r="BB25" i="7"/>
  <c r="AZ25" i="7"/>
  <c r="AV25" i="7"/>
  <c r="BI25" i="7"/>
  <c r="BK25" i="7"/>
  <c r="BM25" i="7"/>
  <c r="BO25" i="7"/>
  <c r="BQ25" i="7"/>
  <c r="BS25" i="7"/>
  <c r="BV25" i="7"/>
  <c r="BC25" i="7"/>
  <c r="BA25" i="7"/>
  <c r="AY25" i="7"/>
  <c r="H26" i="7" l="1"/>
  <c r="AX25" i="7"/>
  <c r="AW25" i="7"/>
  <c r="AR25" i="7"/>
  <c r="AT25" i="7" l="1"/>
  <c r="G25" i="7"/>
  <c r="AA25" i="7" s="1"/>
  <c r="AS25" i="7"/>
  <c r="E25" i="7"/>
  <c r="AU25" i="7"/>
  <c r="B25" i="7"/>
  <c r="V25" i="7" l="1"/>
  <c r="T25" i="7"/>
  <c r="X25" i="7"/>
  <c r="AB25" i="7"/>
  <c r="Z25" i="7"/>
  <c r="AN25" i="7"/>
  <c r="S25" i="7"/>
  <c r="U25" i="7"/>
  <c r="W25" i="7"/>
  <c r="Y25" i="7"/>
  <c r="A25" i="7"/>
  <c r="BE24" i="7"/>
  <c r="D25" i="7"/>
  <c r="BJ24" i="7"/>
  <c r="BL24" i="7"/>
  <c r="BN24" i="7"/>
  <c r="BP24" i="7"/>
  <c r="BR24" i="7"/>
  <c r="BT24" i="7"/>
  <c r="CI24" i="7"/>
  <c r="BB24" i="7"/>
  <c r="AZ24" i="7"/>
  <c r="AV24" i="7"/>
  <c r="BI24" i="7"/>
  <c r="BK24" i="7"/>
  <c r="BM24" i="7"/>
  <c r="BO24" i="7"/>
  <c r="BQ24" i="7"/>
  <c r="BS24" i="7"/>
  <c r="BV24" i="7"/>
  <c r="BC24" i="7"/>
  <c r="BA24" i="7"/>
  <c r="AY24" i="7"/>
  <c r="H25" i="7" l="1"/>
  <c r="AX24" i="7"/>
  <c r="AW24" i="7"/>
  <c r="AR24" i="7"/>
  <c r="AT24" i="7" l="1"/>
  <c r="G24" i="7"/>
  <c r="AA24" i="7" s="1"/>
  <c r="AS24" i="7"/>
  <c r="E24" i="7"/>
  <c r="AU24" i="7"/>
  <c r="B24" i="7"/>
  <c r="V24" i="7" l="1"/>
  <c r="Z24" i="7"/>
  <c r="T24" i="7"/>
  <c r="X24" i="7"/>
  <c r="AB24" i="7"/>
  <c r="AN24" i="7"/>
  <c r="S24" i="7"/>
  <c r="U24" i="7"/>
  <c r="W24" i="7"/>
  <c r="Y24" i="7"/>
  <c r="A24" i="7"/>
  <c r="BE23" i="7"/>
  <c r="D24" i="7"/>
  <c r="BJ23" i="7"/>
  <c r="BL23" i="7"/>
  <c r="BN23" i="7"/>
  <c r="BP23" i="7"/>
  <c r="BR23" i="7"/>
  <c r="BT23" i="7"/>
  <c r="CI23" i="7"/>
  <c r="BB23" i="7"/>
  <c r="AZ23" i="7"/>
  <c r="AV23" i="7"/>
  <c r="BI23" i="7"/>
  <c r="BK23" i="7"/>
  <c r="BM23" i="7"/>
  <c r="BO23" i="7"/>
  <c r="BQ23" i="7"/>
  <c r="BS23" i="7"/>
  <c r="BV23" i="7"/>
  <c r="BC23" i="7"/>
  <c r="BA23" i="7"/>
  <c r="AY23" i="7"/>
  <c r="H24" i="7" l="1"/>
  <c r="AX23" i="7"/>
  <c r="AW23" i="7"/>
  <c r="AR23" i="7"/>
  <c r="AT23" i="7" l="1"/>
  <c r="G23" i="7"/>
  <c r="AA23" i="7" s="1"/>
  <c r="AS23" i="7"/>
  <c r="E23" i="7"/>
  <c r="AU23" i="7"/>
  <c r="B23" i="7"/>
  <c r="T23" i="7" l="1"/>
  <c r="X23" i="7"/>
  <c r="AB23" i="7"/>
  <c r="V23" i="7"/>
  <c r="Z23" i="7"/>
  <c r="AN23" i="7"/>
  <c r="S23" i="7"/>
  <c r="U23" i="7"/>
  <c r="W23" i="7"/>
  <c r="Y23" i="7"/>
  <c r="A23" i="7"/>
  <c r="BE22" i="7"/>
  <c r="D23" i="7"/>
  <c r="BJ22" i="7"/>
  <c r="BL22" i="7"/>
  <c r="BN22" i="7"/>
  <c r="BP22" i="7"/>
  <c r="BR22" i="7"/>
  <c r="BT22" i="7"/>
  <c r="CI22" i="7"/>
  <c r="BB22" i="7"/>
  <c r="AZ22" i="7"/>
  <c r="AV22" i="7"/>
  <c r="BI22" i="7"/>
  <c r="BK22" i="7"/>
  <c r="BM22" i="7"/>
  <c r="BO22" i="7"/>
  <c r="BQ22" i="7"/>
  <c r="BS22" i="7"/>
  <c r="BV22" i="7"/>
  <c r="BC22" i="7"/>
  <c r="BA22" i="7"/>
  <c r="AY22" i="7"/>
  <c r="H23" i="7" l="1"/>
  <c r="AX22" i="7"/>
  <c r="AW22" i="7"/>
  <c r="AR22" i="7"/>
  <c r="AT22" i="7" l="1"/>
  <c r="G22" i="7"/>
  <c r="AB22" i="7" s="1"/>
  <c r="AS22" i="7"/>
  <c r="E22" i="7"/>
  <c r="AU22" i="7"/>
  <c r="B22" i="7"/>
  <c r="AN22" i="7" l="1"/>
  <c r="S22" i="7"/>
  <c r="U22" i="7"/>
  <c r="W22" i="7"/>
  <c r="Y22" i="7"/>
  <c r="AA22" i="7"/>
  <c r="T22" i="7"/>
  <c r="V22" i="7"/>
  <c r="X22" i="7"/>
  <c r="Z22" i="7"/>
  <c r="A22" i="7"/>
  <c r="AN21" i="7"/>
  <c r="BT19" i="7"/>
  <c r="BE19" i="7"/>
  <c r="D22" i="7"/>
  <c r="BJ19" i="7"/>
  <c r="BL19" i="7"/>
  <c r="BN19" i="7"/>
  <c r="BP19" i="7"/>
  <c r="BR19" i="7"/>
  <c r="BV19" i="7"/>
  <c r="BC19" i="7"/>
  <c r="BA19" i="7"/>
  <c r="AY19" i="7"/>
  <c r="BI19" i="7"/>
  <c r="BK19" i="7"/>
  <c r="BM19" i="7"/>
  <c r="BO19" i="7"/>
  <c r="BQ19" i="7"/>
  <c r="BS19" i="7"/>
  <c r="CI19" i="7"/>
  <c r="BB19" i="7"/>
  <c r="AZ19" i="7"/>
  <c r="AV19" i="7"/>
  <c r="H22" i="7" l="1"/>
  <c r="AX19" i="7"/>
  <c r="AW19" i="7"/>
  <c r="AR19" i="7"/>
  <c r="AT19" i="7" l="1"/>
  <c r="G19" i="7"/>
  <c r="AA19" i="7" s="1"/>
  <c r="AS19" i="7"/>
  <c r="E19" i="7"/>
  <c r="AU19" i="7"/>
  <c r="B19" i="7"/>
  <c r="V19" i="7" l="1"/>
  <c r="T19" i="7"/>
  <c r="X19" i="7"/>
  <c r="AB19" i="7"/>
  <c r="Z19" i="7"/>
  <c r="AN19" i="7"/>
  <c r="S19" i="7"/>
  <c r="U19" i="7"/>
  <c r="W19" i="7"/>
  <c r="Y19" i="7"/>
  <c r="A19" i="7"/>
  <c r="BE18" i="7"/>
  <c r="D19" i="7"/>
  <c r="BJ18" i="7"/>
  <c r="BL18" i="7"/>
  <c r="BN18" i="7"/>
  <c r="BP18" i="7"/>
  <c r="BR18" i="7"/>
  <c r="BT18" i="7"/>
  <c r="CI18" i="7"/>
  <c r="BB18" i="7"/>
  <c r="AZ18" i="7"/>
  <c r="AV18" i="7"/>
  <c r="BI18" i="7"/>
  <c r="BK18" i="7"/>
  <c r="BM18" i="7"/>
  <c r="BO18" i="7"/>
  <c r="BQ18" i="7"/>
  <c r="BS18" i="7"/>
  <c r="BV18" i="7"/>
  <c r="BC18" i="7"/>
  <c r="BA18" i="7"/>
  <c r="AY18" i="7"/>
  <c r="H19" i="7" l="1"/>
  <c r="AX18" i="7"/>
  <c r="AW18" i="7"/>
  <c r="AR18" i="7"/>
  <c r="AT18" i="7" l="1"/>
  <c r="G18" i="7"/>
  <c r="AB18" i="7" s="1"/>
  <c r="AS18" i="7"/>
  <c r="E18" i="7"/>
  <c r="AU18" i="7"/>
  <c r="B18" i="7"/>
  <c r="AN18" i="7" l="1"/>
  <c r="S18" i="7"/>
  <c r="U18" i="7"/>
  <c r="W18" i="7"/>
  <c r="Y18" i="7"/>
  <c r="AA18" i="7"/>
  <c r="T18" i="7"/>
  <c r="V18" i="7"/>
  <c r="X18" i="7"/>
  <c r="Z18" i="7"/>
  <c r="A18" i="7"/>
  <c r="BE17" i="7"/>
  <c r="D18" i="7"/>
  <c r="BJ17" i="7"/>
  <c r="BL17" i="7"/>
  <c r="BN17" i="7"/>
  <c r="BP17" i="7"/>
  <c r="BR17" i="7"/>
  <c r="BT17" i="7"/>
  <c r="CI17" i="7"/>
  <c r="BB17" i="7"/>
  <c r="AZ17" i="7"/>
  <c r="AV17" i="7"/>
  <c r="BI17" i="7"/>
  <c r="BK17" i="7"/>
  <c r="BM17" i="7"/>
  <c r="BO17" i="7"/>
  <c r="BQ17" i="7"/>
  <c r="BS17" i="7"/>
  <c r="BV17" i="7"/>
  <c r="BC17" i="7"/>
  <c r="BA17" i="7"/>
  <c r="AY17" i="7"/>
  <c r="H18" i="7" l="1"/>
  <c r="AX17" i="7"/>
  <c r="AW17" i="7"/>
  <c r="AR17" i="7"/>
  <c r="AT17" i="7" l="1"/>
  <c r="G17" i="7"/>
  <c r="AB17" i="7" s="1"/>
  <c r="AS17" i="7"/>
  <c r="E17" i="7"/>
  <c r="AU17" i="7"/>
  <c r="B17" i="7"/>
  <c r="AN17" i="7" l="1"/>
  <c r="S17" i="7"/>
  <c r="U17" i="7"/>
  <c r="W17" i="7"/>
  <c r="Y17" i="7"/>
  <c r="AA17" i="7"/>
  <c r="T17" i="7"/>
  <c r="V17" i="7"/>
  <c r="X17" i="7"/>
  <c r="Z17" i="7"/>
  <c r="A17" i="7"/>
  <c r="BE16" i="7"/>
  <c r="D17" i="7"/>
  <c r="BJ16" i="7"/>
  <c r="BL16" i="7"/>
  <c r="BN16" i="7"/>
  <c r="BP16" i="7"/>
  <c r="BR16" i="7"/>
  <c r="BT16" i="7"/>
  <c r="CI16" i="7"/>
  <c r="BB16" i="7"/>
  <c r="AZ16" i="7"/>
  <c r="AV16" i="7"/>
  <c r="BI16" i="7"/>
  <c r="BK16" i="7"/>
  <c r="BM16" i="7"/>
  <c r="BO16" i="7"/>
  <c r="BQ16" i="7"/>
  <c r="BS16" i="7"/>
  <c r="BV16" i="7"/>
  <c r="BC16" i="7"/>
  <c r="BA16" i="7"/>
  <c r="AY16" i="7"/>
  <c r="H17" i="7" l="1"/>
  <c r="AX16" i="7"/>
  <c r="AW16" i="7"/>
  <c r="AR16" i="7"/>
  <c r="AT16" i="7" l="1"/>
  <c r="G16" i="7"/>
  <c r="AA16" i="7" s="1"/>
  <c r="AS16" i="7"/>
  <c r="E16" i="7"/>
  <c r="AU16" i="7"/>
  <c r="B16" i="7"/>
  <c r="V16" i="7" l="1"/>
  <c r="T16" i="7"/>
  <c r="X16" i="7"/>
  <c r="AB16" i="7"/>
  <c r="Z16" i="7"/>
  <c r="AN16" i="7"/>
  <c r="S16" i="7"/>
  <c r="U16" i="7"/>
  <c r="W16" i="7"/>
  <c r="Y16" i="7"/>
  <c r="A16" i="7"/>
  <c r="BE15" i="7"/>
  <c r="D16" i="7"/>
  <c r="BJ15" i="7"/>
  <c r="BL15" i="7"/>
  <c r="BN15" i="7"/>
  <c r="BP15" i="7"/>
  <c r="BR15" i="7"/>
  <c r="BT15" i="7"/>
  <c r="CI15" i="7"/>
  <c r="BB15" i="7"/>
  <c r="AZ15" i="7"/>
  <c r="AV15" i="7"/>
  <c r="BI15" i="7"/>
  <c r="BK15" i="7"/>
  <c r="BM15" i="7"/>
  <c r="BO15" i="7"/>
  <c r="BQ15" i="7"/>
  <c r="BS15" i="7"/>
  <c r="BV15" i="7"/>
  <c r="BC15" i="7"/>
  <c r="BA15" i="7"/>
  <c r="AY15" i="7"/>
  <c r="H16" i="7" l="1"/>
  <c r="AX15" i="7"/>
  <c r="AW15" i="7"/>
  <c r="AR15" i="7"/>
  <c r="AT15" i="7" l="1"/>
  <c r="G15" i="7"/>
  <c r="AB15" i="7" s="1"/>
  <c r="AS15" i="7"/>
  <c r="E15" i="7"/>
  <c r="AU15" i="7"/>
  <c r="B15" i="7"/>
  <c r="AN15" i="7" l="1"/>
  <c r="S15" i="7"/>
  <c r="U15" i="7"/>
  <c r="W15" i="7"/>
  <c r="Y15" i="7"/>
  <c r="AA15" i="7"/>
  <c r="T15" i="7"/>
  <c r="V15" i="7"/>
  <c r="X15" i="7"/>
  <c r="Z15" i="7"/>
  <c r="A15" i="7"/>
  <c r="BE14" i="7"/>
  <c r="D15" i="7"/>
  <c r="BJ14" i="7"/>
  <c r="BL14" i="7"/>
  <c r="BN14" i="7"/>
  <c r="BP14" i="7"/>
  <c r="BR14" i="7"/>
  <c r="BT14" i="7"/>
  <c r="CI14" i="7"/>
  <c r="BB14" i="7"/>
  <c r="AZ14" i="7"/>
  <c r="AV14" i="7"/>
  <c r="BI14" i="7"/>
  <c r="BK14" i="7"/>
  <c r="BM14" i="7"/>
  <c r="BO14" i="7"/>
  <c r="BQ14" i="7"/>
  <c r="BS14" i="7"/>
  <c r="BV14" i="7"/>
  <c r="BC14" i="7"/>
  <c r="BA14" i="7"/>
  <c r="AY14" i="7"/>
  <c r="H15" i="7" l="1"/>
  <c r="AX14" i="7"/>
  <c r="AW14" i="7"/>
  <c r="AR14" i="7"/>
  <c r="AT14" i="7" l="1"/>
  <c r="G14" i="7"/>
  <c r="AA14" i="7" s="1"/>
  <c r="AS14" i="7"/>
  <c r="E14" i="7"/>
  <c r="AU14" i="7"/>
  <c r="B14" i="7"/>
  <c r="V14" i="7" l="1"/>
  <c r="Z14" i="7"/>
  <c r="T14" i="7"/>
  <c r="X14" i="7"/>
  <c r="AB14" i="7"/>
  <c r="AN14" i="7"/>
  <c r="S14" i="7"/>
  <c r="U14" i="7"/>
  <c r="W14" i="7"/>
  <c r="Y14" i="7"/>
  <c r="A14" i="7"/>
  <c r="BE13" i="7"/>
  <c r="D14" i="7"/>
  <c r="BJ13" i="7"/>
  <c r="BL13" i="7"/>
  <c r="BN13" i="7"/>
  <c r="BP13" i="7"/>
  <c r="BR13" i="7"/>
  <c r="BT13" i="7"/>
  <c r="CI13" i="7"/>
  <c r="BB13" i="7"/>
  <c r="AZ13" i="7"/>
  <c r="AV13" i="7"/>
  <c r="BI13" i="7"/>
  <c r="BK13" i="7"/>
  <c r="BM13" i="7"/>
  <c r="BO13" i="7"/>
  <c r="BQ13" i="7"/>
  <c r="BS13" i="7"/>
  <c r="BV13" i="7"/>
  <c r="BC13" i="7"/>
  <c r="BA13" i="7"/>
  <c r="AY13" i="7"/>
  <c r="H14" i="7" l="1"/>
  <c r="AX13" i="7"/>
  <c r="AW13" i="7"/>
  <c r="AR13" i="7"/>
  <c r="AT13" i="7" l="1"/>
  <c r="G13" i="7"/>
  <c r="AA13" i="7" s="1"/>
  <c r="AS13" i="7"/>
  <c r="B13" i="7"/>
  <c r="AU13" i="7"/>
  <c r="E13" i="7"/>
  <c r="AB13" i="7" l="1"/>
  <c r="T13" i="7"/>
  <c r="X13" i="7"/>
  <c r="V13" i="7"/>
  <c r="Z13" i="7"/>
  <c r="AN13" i="7"/>
  <c r="S13" i="7"/>
  <c r="U13" i="7"/>
  <c r="W13" i="7"/>
  <c r="Y13" i="7"/>
  <c r="A13" i="7"/>
  <c r="BE12" i="7"/>
  <c r="D13" i="7"/>
  <c r="BJ12" i="7"/>
  <c r="BL12" i="7"/>
  <c r="BN12" i="7"/>
  <c r="BP12" i="7"/>
  <c r="BR12" i="7"/>
  <c r="BT12" i="7"/>
  <c r="CI12" i="7"/>
  <c r="BB12" i="7"/>
  <c r="AZ12" i="7"/>
  <c r="AV12" i="7"/>
  <c r="BI12" i="7"/>
  <c r="BK12" i="7"/>
  <c r="BM12" i="7"/>
  <c r="BO12" i="7"/>
  <c r="BQ12" i="7"/>
  <c r="BS12" i="7"/>
  <c r="BV12" i="7"/>
  <c r="BC12" i="7"/>
  <c r="BA12" i="7"/>
  <c r="AY12" i="7"/>
  <c r="H13" i="7" l="1"/>
  <c r="AX12" i="7"/>
  <c r="AW12" i="7"/>
  <c r="AR12" i="7"/>
  <c r="AT12" i="7" l="1"/>
  <c r="G12" i="7"/>
  <c r="AA12" i="7" s="1"/>
  <c r="AS12" i="7"/>
  <c r="B12" i="7"/>
  <c r="AU12" i="7"/>
  <c r="E12" i="7"/>
  <c r="AB12" i="7" l="1"/>
  <c r="T12" i="7"/>
  <c r="X12" i="7"/>
  <c r="V12" i="7"/>
  <c r="Z12" i="7"/>
  <c r="AN12" i="7"/>
  <c r="S12" i="7"/>
  <c r="U12" i="7"/>
  <c r="W12" i="7"/>
  <c r="Y12" i="7"/>
  <c r="A12" i="7"/>
  <c r="BE11" i="7"/>
  <c r="D12" i="7"/>
  <c r="BJ11" i="7"/>
  <c r="BL11" i="7"/>
  <c r="BN11" i="7"/>
  <c r="BP11" i="7"/>
  <c r="BR11" i="7"/>
  <c r="BT11" i="7"/>
  <c r="CI11" i="7"/>
  <c r="BB11" i="7"/>
  <c r="AZ11" i="7"/>
  <c r="AV11" i="7"/>
  <c r="BI11" i="7"/>
  <c r="BK11" i="7"/>
  <c r="BM11" i="7"/>
  <c r="BO11" i="7"/>
  <c r="BQ11" i="7"/>
  <c r="BS11" i="7"/>
  <c r="BV11" i="7"/>
  <c r="BC11" i="7"/>
  <c r="BA11" i="7"/>
  <c r="AY11" i="7"/>
  <c r="H12" i="7" l="1"/>
  <c r="AX11" i="7"/>
  <c r="AW11" i="7"/>
  <c r="AR11" i="7"/>
  <c r="AT11" i="7" l="1"/>
  <c r="G11" i="7"/>
  <c r="AA11" i="7" s="1"/>
  <c r="AS11" i="7"/>
  <c r="B11" i="7"/>
  <c r="AU11" i="7"/>
  <c r="E11" i="7"/>
  <c r="V11" i="7" l="1"/>
  <c r="Z11" i="7"/>
  <c r="T11" i="7"/>
  <c r="X11" i="7"/>
  <c r="AB11" i="7"/>
  <c r="AN11" i="7"/>
  <c r="S11" i="7"/>
  <c r="U11" i="7"/>
  <c r="W11" i="7"/>
  <c r="Y11" i="7"/>
  <c r="A11" i="7"/>
  <c r="BE10" i="7"/>
  <c r="D11" i="7"/>
  <c r="BI10" i="7"/>
  <c r="BK10" i="7"/>
  <c r="BM10" i="7"/>
  <c r="BO10" i="7"/>
  <c r="BQ10" i="7"/>
  <c r="BS10" i="7"/>
  <c r="BV10" i="7"/>
  <c r="BC10" i="7"/>
  <c r="BA10" i="7"/>
  <c r="AY10" i="7"/>
  <c r="BJ10" i="7"/>
  <c r="BL10" i="7"/>
  <c r="BN10" i="7"/>
  <c r="BP10" i="7"/>
  <c r="BR10" i="7"/>
  <c r="BT10" i="7"/>
  <c r="CI10" i="7"/>
  <c r="BB10" i="7"/>
  <c r="AZ10" i="7"/>
  <c r="AV10" i="7"/>
  <c r="H11" i="7" l="1"/>
  <c r="AX10" i="7"/>
  <c r="AW10" i="7"/>
  <c r="AR10" i="7"/>
  <c r="AT10" i="7" l="1"/>
  <c r="G10" i="7"/>
  <c r="AA10" i="7" s="1"/>
  <c r="AS10" i="7"/>
  <c r="E10" i="7"/>
  <c r="AU10" i="7"/>
  <c r="B10" i="7"/>
  <c r="V10" i="7" l="1"/>
  <c r="Z10" i="7"/>
  <c r="T10" i="7"/>
  <c r="X10" i="7"/>
  <c r="AB10" i="7"/>
  <c r="AN10" i="7"/>
  <c r="S10" i="7"/>
  <c r="U10" i="7"/>
  <c r="W10" i="7"/>
  <c r="Y10" i="7"/>
  <c r="A10" i="7"/>
  <c r="BE9" i="7"/>
  <c r="D10" i="7"/>
  <c r="BJ9" i="7"/>
  <c r="BL9" i="7"/>
  <c r="BN9" i="7"/>
  <c r="BP9" i="7"/>
  <c r="BR9" i="7"/>
  <c r="BT9" i="7"/>
  <c r="CI9" i="7"/>
  <c r="BB9" i="7"/>
  <c r="AZ9" i="7"/>
  <c r="AV9" i="7"/>
  <c r="BI9" i="7"/>
  <c r="BK9" i="7"/>
  <c r="BM9" i="7"/>
  <c r="BO9" i="7"/>
  <c r="BQ9" i="7"/>
  <c r="BS9" i="7"/>
  <c r="BV9" i="7"/>
  <c r="BC9" i="7"/>
  <c r="BA9" i="7"/>
  <c r="AY9" i="7"/>
  <c r="H10" i="7" l="1"/>
  <c r="AX9" i="7"/>
  <c r="AW9" i="7"/>
  <c r="AR9" i="7"/>
  <c r="AT9" i="7" l="1"/>
  <c r="G9" i="7"/>
  <c r="AA9" i="7" s="1"/>
  <c r="AS9" i="7"/>
  <c r="E9" i="7"/>
  <c r="AU9" i="7"/>
  <c r="B9" i="7"/>
  <c r="V9" i="7" l="1"/>
  <c r="Z9" i="7"/>
  <c r="T9" i="7"/>
  <c r="X9" i="7"/>
  <c r="AB9" i="7"/>
  <c r="AN9" i="7"/>
  <c r="S9" i="7"/>
  <c r="U9" i="7"/>
  <c r="W9" i="7"/>
  <c r="Y9" i="7"/>
  <c r="A9" i="7"/>
  <c r="BE8" i="7"/>
  <c r="D9" i="7"/>
  <c r="BJ8" i="7"/>
  <c r="BL8" i="7"/>
  <c r="BN8" i="7"/>
  <c r="BP8" i="7"/>
  <c r="BR8" i="7"/>
  <c r="BT8" i="7"/>
  <c r="CI8" i="7"/>
  <c r="BB8" i="7"/>
  <c r="AZ8" i="7"/>
  <c r="AV8" i="7"/>
  <c r="BI8" i="7"/>
  <c r="BK8" i="7"/>
  <c r="BM8" i="7"/>
  <c r="BO8" i="7"/>
  <c r="BQ8" i="7"/>
  <c r="BS8" i="7"/>
  <c r="BV8" i="7"/>
  <c r="BC8" i="7"/>
  <c r="BA8" i="7"/>
  <c r="AY8" i="7"/>
  <c r="H9" i="7" l="1"/>
  <c r="AX8" i="7"/>
  <c r="AW8" i="7"/>
  <c r="AR8" i="7"/>
  <c r="AT8" i="7" l="1"/>
  <c r="G8" i="7"/>
  <c r="AA8" i="7" s="1"/>
  <c r="AS8" i="7"/>
  <c r="E8" i="7"/>
  <c r="AU8" i="7"/>
  <c r="B8" i="7"/>
  <c r="V8" i="7" l="1"/>
  <c r="Z8" i="7"/>
  <c r="T8" i="7"/>
  <c r="X8" i="7"/>
  <c r="AB8" i="7"/>
  <c r="AN8" i="7"/>
  <c r="S8" i="7"/>
  <c r="U8" i="7"/>
  <c r="W8" i="7"/>
  <c r="Y8" i="7"/>
  <c r="A8" i="7"/>
  <c r="BI7" i="7"/>
  <c r="AN7" i="7"/>
  <c r="BY6" i="7"/>
  <c r="BZ6" i="7" s="1"/>
  <c r="CA6" i="7" s="1"/>
  <c r="BW6" i="7"/>
  <c r="U6" i="7"/>
  <c r="AE6" i="7" s="1"/>
  <c r="T6" i="7"/>
  <c r="AD6" i="7" s="1"/>
  <c r="S6" i="7"/>
  <c r="AC6" i="7" s="1"/>
  <c r="CJ5" i="7"/>
  <c r="BW5" i="7"/>
  <c r="BX5" i="7" s="1"/>
  <c r="D8" i="7"/>
  <c r="BW9" i="7"/>
  <c r="BW11" i="7"/>
  <c r="BW13" i="7"/>
  <c r="BW15" i="7"/>
  <c r="BW17" i="7"/>
  <c r="BW19" i="7"/>
  <c r="BW23" i="7"/>
  <c r="BW25" i="7"/>
  <c r="BW27" i="7"/>
  <c r="BW31" i="7"/>
  <c r="BW33" i="7"/>
  <c r="BW35" i="7"/>
  <c r="BW37" i="7"/>
  <c r="CJ9" i="7"/>
  <c r="CJ11" i="7"/>
  <c r="CJ13" i="7"/>
  <c r="CJ15" i="7"/>
  <c r="CJ17" i="7"/>
  <c r="CJ19" i="7"/>
  <c r="CJ23" i="7"/>
  <c r="CJ25" i="7"/>
  <c r="CJ27" i="7"/>
  <c r="CJ31" i="7"/>
  <c r="CJ33" i="7"/>
  <c r="CJ35" i="7"/>
  <c r="CJ37" i="7"/>
  <c r="BX9" i="7"/>
  <c r="BX11" i="7"/>
  <c r="BX13" i="7"/>
  <c r="BX15" i="7"/>
  <c r="BX17" i="7"/>
  <c r="BX19" i="7"/>
  <c r="BX23" i="7"/>
  <c r="BX25" i="7"/>
  <c r="BX27" i="7"/>
  <c r="BX31" i="7"/>
  <c r="BX33" i="7"/>
  <c r="BX35" i="7"/>
  <c r="BX37" i="7"/>
  <c r="BW8" i="7"/>
  <c r="BW10" i="7"/>
  <c r="BW12" i="7"/>
  <c r="BW14" i="7"/>
  <c r="BW16" i="7"/>
  <c r="BW18" i="7"/>
  <c r="BW22" i="7"/>
  <c r="BW24" i="7"/>
  <c r="BW26" i="7"/>
  <c r="BW28" i="7"/>
  <c r="BW32" i="7"/>
  <c r="BW34" i="7"/>
  <c r="BW36" i="7"/>
  <c r="CJ8" i="7"/>
  <c r="CJ10" i="7"/>
  <c r="CJ12" i="7"/>
  <c r="CJ14" i="7"/>
  <c r="CJ16" i="7"/>
  <c r="CJ18" i="7"/>
  <c r="CJ22" i="7"/>
  <c r="CJ24" i="7"/>
  <c r="CJ26" i="7"/>
  <c r="CJ28" i="7"/>
  <c r="CJ32" i="7"/>
  <c r="CJ34" i="7"/>
  <c r="CJ36" i="7"/>
  <c r="BX8" i="7"/>
  <c r="BX10" i="7"/>
  <c r="BX12" i="7"/>
  <c r="BX14" i="7"/>
  <c r="BX16" i="7"/>
  <c r="BX18" i="7"/>
  <c r="BX22" i="7"/>
  <c r="BX24" i="7"/>
  <c r="BX26" i="7"/>
  <c r="BX28" i="7"/>
  <c r="BX32" i="7"/>
  <c r="BX34" i="7"/>
  <c r="BX36" i="7"/>
  <c r="H8" i="7" l="1"/>
  <c r="I37" i="7"/>
  <c r="I36" i="7"/>
  <c r="I35" i="7"/>
  <c r="I34" i="7"/>
  <c r="I33" i="7"/>
  <c r="I32" i="7"/>
  <c r="I31" i="7"/>
  <c r="I28" i="7"/>
  <c r="I27" i="7"/>
  <c r="I26" i="7"/>
  <c r="I25" i="7"/>
  <c r="I24" i="7"/>
  <c r="I23" i="7"/>
  <c r="I22" i="7"/>
  <c r="I19" i="7"/>
  <c r="I18" i="7"/>
  <c r="I17" i="7"/>
  <c r="I16" i="7"/>
  <c r="I15" i="7"/>
  <c r="I14" i="7"/>
  <c r="I13" i="7"/>
  <c r="I12" i="7"/>
  <c r="I11" i="7"/>
  <c r="I10" i="7"/>
  <c r="I9" i="7"/>
  <c r="I8" i="7"/>
  <c r="BY5" i="7"/>
  <c r="CB6" i="7"/>
  <c r="CK5" i="7"/>
  <c r="BY36" i="7"/>
  <c r="BY34" i="7"/>
  <c r="BY32" i="7"/>
  <c r="BY28" i="7"/>
  <c r="BY26" i="7"/>
  <c r="BY24" i="7"/>
  <c r="BY22" i="7"/>
  <c r="BY18" i="7"/>
  <c r="BY16" i="7"/>
  <c r="BY14" i="7"/>
  <c r="BY12" i="7"/>
  <c r="BY10" i="7"/>
  <c r="BY8" i="7"/>
  <c r="CK9" i="7"/>
  <c r="CK11" i="7"/>
  <c r="CK13" i="7"/>
  <c r="CK15" i="7"/>
  <c r="CK17" i="7"/>
  <c r="CK19" i="7"/>
  <c r="CK23" i="7"/>
  <c r="CK25" i="7"/>
  <c r="CK27" i="7"/>
  <c r="CK31" i="7"/>
  <c r="CK33" i="7"/>
  <c r="CK35" i="7"/>
  <c r="CK37" i="7"/>
  <c r="BY37" i="7"/>
  <c r="BY35" i="7"/>
  <c r="BY33" i="7"/>
  <c r="BY31" i="7"/>
  <c r="BY27" i="7"/>
  <c r="BY25" i="7"/>
  <c r="BY23" i="7"/>
  <c r="BY19" i="7"/>
  <c r="BY17" i="7"/>
  <c r="BY15" i="7"/>
  <c r="BY13" i="7"/>
  <c r="BY11" i="7"/>
  <c r="BY9" i="7"/>
  <c r="CK8" i="7"/>
  <c r="CK10" i="7"/>
  <c r="CK12" i="7"/>
  <c r="CK14" i="7"/>
  <c r="CK16" i="7"/>
  <c r="CK18" i="7"/>
  <c r="CK22" i="7"/>
  <c r="CK24" i="7"/>
  <c r="CK26" i="7"/>
  <c r="CK28" i="7"/>
  <c r="CK32" i="7"/>
  <c r="CK34" i="7"/>
  <c r="CK36" i="7"/>
  <c r="AC37" i="7" l="1"/>
  <c r="AC36" i="7"/>
  <c r="AC35" i="7"/>
  <c r="AC34" i="7"/>
  <c r="AC33" i="7"/>
  <c r="AC32" i="7"/>
  <c r="AC31" i="7"/>
  <c r="AC28" i="7"/>
  <c r="AC27" i="7"/>
  <c r="AC26" i="7"/>
  <c r="AC25" i="7"/>
  <c r="AC24" i="7"/>
  <c r="AC23" i="7"/>
  <c r="AC22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J8" i="7"/>
  <c r="J9" i="7"/>
  <c r="J10" i="7"/>
  <c r="J11" i="7"/>
  <c r="J12" i="7"/>
  <c r="J13" i="7"/>
  <c r="J14" i="7"/>
  <c r="J15" i="7"/>
  <c r="J16" i="7"/>
  <c r="J17" i="7"/>
  <c r="J18" i="7"/>
  <c r="J19" i="7"/>
  <c r="J22" i="7"/>
  <c r="J23" i="7"/>
  <c r="J24" i="7"/>
  <c r="J25" i="7"/>
  <c r="J26" i="7"/>
  <c r="J27" i="7"/>
  <c r="J28" i="7"/>
  <c r="J31" i="7"/>
  <c r="J32" i="7"/>
  <c r="J33" i="7"/>
  <c r="J34" i="7"/>
  <c r="J35" i="7"/>
  <c r="J36" i="7"/>
  <c r="J37" i="7"/>
  <c r="CC6" i="7"/>
  <c r="CL5" i="7"/>
  <c r="BZ5" i="7"/>
  <c r="B4" i="3"/>
  <c r="AP75" i="1"/>
  <c r="AO75" i="1"/>
  <c r="AN75" i="1"/>
  <c r="AM75" i="1"/>
  <c r="AL75" i="1"/>
  <c r="AK75" i="1"/>
  <c r="AI75" i="1"/>
  <c r="Y75" i="1"/>
  <c r="X75" i="1"/>
  <c r="W75" i="1"/>
  <c r="V75" i="1"/>
  <c r="U75" i="1"/>
  <c r="S75" i="1"/>
  <c r="R75" i="1"/>
  <c r="N75" i="1"/>
  <c r="M75" i="1"/>
  <c r="L75" i="1"/>
  <c r="K75" i="1"/>
  <c r="J75" i="1"/>
  <c r="H75" i="1"/>
  <c r="G75" i="1"/>
  <c r="AP74" i="1"/>
  <c r="AO74" i="1"/>
  <c r="AN74" i="1"/>
  <c r="AM74" i="1"/>
  <c r="AL74" i="1"/>
  <c r="AK74" i="1"/>
  <c r="AI74" i="1"/>
  <c r="Y74" i="1"/>
  <c r="X74" i="1"/>
  <c r="W74" i="1"/>
  <c r="V74" i="1"/>
  <c r="U74" i="1"/>
  <c r="S74" i="1"/>
  <c r="R74" i="1"/>
  <c r="N74" i="1"/>
  <c r="M74" i="1"/>
  <c r="L74" i="1"/>
  <c r="K74" i="1"/>
  <c r="J74" i="1"/>
  <c r="H74" i="1"/>
  <c r="G74" i="1"/>
  <c r="B74" i="1"/>
  <c r="AZ74" i="1" s="1"/>
  <c r="AP73" i="1"/>
  <c r="AO73" i="1"/>
  <c r="AN73" i="1"/>
  <c r="AM73" i="1"/>
  <c r="AL73" i="1"/>
  <c r="AK73" i="1"/>
  <c r="AI73" i="1"/>
  <c r="Y73" i="1"/>
  <c r="X73" i="1"/>
  <c r="W73" i="1"/>
  <c r="V73" i="1"/>
  <c r="U73" i="1"/>
  <c r="S73" i="1"/>
  <c r="R73" i="1"/>
  <c r="N73" i="1"/>
  <c r="M73" i="1"/>
  <c r="L73" i="1"/>
  <c r="K73" i="1"/>
  <c r="J73" i="1"/>
  <c r="H73" i="1"/>
  <c r="G73" i="1"/>
  <c r="AP72" i="1"/>
  <c r="AO72" i="1"/>
  <c r="AN72" i="1"/>
  <c r="AM72" i="1"/>
  <c r="AL72" i="1"/>
  <c r="AK72" i="1"/>
  <c r="AI72" i="1"/>
  <c r="Y72" i="1"/>
  <c r="X72" i="1"/>
  <c r="W72" i="1"/>
  <c r="V72" i="1"/>
  <c r="U72" i="1"/>
  <c r="S72" i="1"/>
  <c r="R72" i="1"/>
  <c r="N72" i="1"/>
  <c r="M72" i="1"/>
  <c r="L72" i="1"/>
  <c r="K72" i="1"/>
  <c r="J72" i="1"/>
  <c r="H72" i="1"/>
  <c r="G72" i="1"/>
  <c r="AP71" i="1"/>
  <c r="AO71" i="1"/>
  <c r="AN71" i="1"/>
  <c r="AZ71" i="1" s="1"/>
  <c r="AM71" i="1"/>
  <c r="AL71" i="1"/>
  <c r="AK71" i="1"/>
  <c r="AI71" i="1"/>
  <c r="Y71" i="1"/>
  <c r="X71" i="1"/>
  <c r="W71" i="1"/>
  <c r="V71" i="1"/>
  <c r="U71" i="1"/>
  <c r="S71" i="1"/>
  <c r="R71" i="1"/>
  <c r="M71" i="1"/>
  <c r="L71" i="1"/>
  <c r="K71" i="1"/>
  <c r="J71" i="1"/>
  <c r="H71" i="1"/>
  <c r="G71" i="1"/>
  <c r="B71" i="1"/>
  <c r="B72" i="1" s="1"/>
  <c r="AP70" i="1"/>
  <c r="AP76" i="1" s="1"/>
  <c r="AO70" i="1"/>
  <c r="AN70" i="1"/>
  <c r="AM70" i="1"/>
  <c r="AL70" i="1"/>
  <c r="AL76" i="1" s="1"/>
  <c r="AK70" i="1"/>
  <c r="AI70" i="1"/>
  <c r="Y70" i="1"/>
  <c r="X70" i="1"/>
  <c r="X76" i="1" s="1"/>
  <c r="W70" i="1"/>
  <c r="V70" i="1"/>
  <c r="U70" i="1"/>
  <c r="S70" i="1"/>
  <c r="S76" i="1" s="1"/>
  <c r="R70" i="1"/>
  <c r="N70" i="1"/>
  <c r="M70" i="1"/>
  <c r="L70" i="1"/>
  <c r="L76" i="1" s="1"/>
  <c r="K70" i="1"/>
  <c r="J70" i="1"/>
  <c r="H70" i="1"/>
  <c r="G70" i="1"/>
  <c r="B70" i="1"/>
  <c r="BA70" i="1" s="1"/>
  <c r="AP66" i="1"/>
  <c r="AO66" i="1"/>
  <c r="AN66" i="1"/>
  <c r="AM66" i="1"/>
  <c r="AL66" i="1"/>
  <c r="AK66" i="1"/>
  <c r="AI66" i="1"/>
  <c r="Y66" i="1"/>
  <c r="X66" i="1"/>
  <c r="W66" i="1"/>
  <c r="V66" i="1"/>
  <c r="U66" i="1"/>
  <c r="S66" i="1"/>
  <c r="R66" i="1"/>
  <c r="N66" i="1"/>
  <c r="M66" i="1"/>
  <c r="L66" i="1"/>
  <c r="K66" i="1"/>
  <c r="J66" i="1"/>
  <c r="H66" i="1"/>
  <c r="G66" i="1"/>
  <c r="AP65" i="1"/>
  <c r="AO65" i="1"/>
  <c r="AN65" i="1"/>
  <c r="AM65" i="1"/>
  <c r="AL65" i="1"/>
  <c r="AK65" i="1"/>
  <c r="AI65" i="1"/>
  <c r="Y65" i="1"/>
  <c r="X65" i="1"/>
  <c r="W65" i="1"/>
  <c r="V65" i="1"/>
  <c r="U65" i="1"/>
  <c r="S65" i="1"/>
  <c r="R65" i="1"/>
  <c r="H65" i="1"/>
  <c r="G65" i="1"/>
  <c r="AP64" i="1"/>
  <c r="AO64" i="1"/>
  <c r="AN64" i="1"/>
  <c r="AM64" i="1"/>
  <c r="AL64" i="1"/>
  <c r="AK64" i="1"/>
  <c r="AI64" i="1"/>
  <c r="Y64" i="1"/>
  <c r="X64" i="1"/>
  <c r="W64" i="1"/>
  <c r="V64" i="1"/>
  <c r="U64" i="1"/>
  <c r="S64" i="1"/>
  <c r="R64" i="1"/>
  <c r="N64" i="1"/>
  <c r="M64" i="1"/>
  <c r="L64" i="1"/>
  <c r="K64" i="1"/>
  <c r="J64" i="1"/>
  <c r="H64" i="1"/>
  <c r="G64" i="1"/>
  <c r="AP63" i="1"/>
  <c r="AO63" i="1"/>
  <c r="AN63" i="1"/>
  <c r="AM63" i="1"/>
  <c r="AL63" i="1"/>
  <c r="AK63" i="1"/>
  <c r="AI63" i="1"/>
  <c r="Y63" i="1"/>
  <c r="X63" i="1"/>
  <c r="W63" i="1"/>
  <c r="V63" i="1"/>
  <c r="U63" i="1"/>
  <c r="S63" i="1"/>
  <c r="R63" i="1"/>
  <c r="H63" i="1"/>
  <c r="G63" i="1"/>
  <c r="B63" i="1"/>
  <c r="B64" i="1" s="1"/>
  <c r="B65" i="1" s="1"/>
  <c r="AZ65" i="1" s="1"/>
  <c r="AP62" i="1"/>
  <c r="AO62" i="1"/>
  <c r="AN62" i="1"/>
  <c r="AM62" i="1"/>
  <c r="AL62" i="1"/>
  <c r="AK62" i="1"/>
  <c r="AI62" i="1"/>
  <c r="Y62" i="1"/>
  <c r="X62" i="1"/>
  <c r="W62" i="1"/>
  <c r="V62" i="1"/>
  <c r="U62" i="1"/>
  <c r="S62" i="1"/>
  <c r="R62" i="1"/>
  <c r="H62" i="1"/>
  <c r="G62" i="1"/>
  <c r="AP61" i="1"/>
  <c r="AP67" i="1" s="1"/>
  <c r="AO61" i="1"/>
  <c r="AN61" i="1"/>
  <c r="AM61" i="1"/>
  <c r="AL61" i="1"/>
  <c r="AK61" i="1"/>
  <c r="AI61" i="1"/>
  <c r="Y61" i="1"/>
  <c r="X61" i="1"/>
  <c r="X67" i="1" s="1"/>
  <c r="W61" i="1"/>
  <c r="V61" i="1"/>
  <c r="U61" i="1"/>
  <c r="S61" i="1"/>
  <c r="R61" i="1"/>
  <c r="N61" i="1"/>
  <c r="M61" i="1"/>
  <c r="L61" i="1"/>
  <c r="L67" i="1" s="1"/>
  <c r="K61" i="1"/>
  <c r="J61" i="1"/>
  <c r="H61" i="1"/>
  <c r="G61" i="1"/>
  <c r="B61" i="1"/>
  <c r="B62" i="1" s="1"/>
  <c r="AZ62" i="1" s="1"/>
  <c r="AP57" i="1"/>
  <c r="AO57" i="1"/>
  <c r="AN57" i="1"/>
  <c r="AM57" i="1"/>
  <c r="AL57" i="1"/>
  <c r="AK57" i="1"/>
  <c r="AI57" i="1"/>
  <c r="Y57" i="1"/>
  <c r="X57" i="1"/>
  <c r="W57" i="1"/>
  <c r="V57" i="1"/>
  <c r="U57" i="1"/>
  <c r="S57" i="1"/>
  <c r="R57" i="1"/>
  <c r="N57" i="1"/>
  <c r="M57" i="1"/>
  <c r="L57" i="1"/>
  <c r="K57" i="1"/>
  <c r="J57" i="1"/>
  <c r="H57" i="1"/>
  <c r="G57" i="1"/>
  <c r="AP56" i="1"/>
  <c r="AO56" i="1"/>
  <c r="AN56" i="1"/>
  <c r="AM56" i="1"/>
  <c r="AL56" i="1"/>
  <c r="AK56" i="1"/>
  <c r="AI56" i="1"/>
  <c r="Y56" i="1"/>
  <c r="X56" i="1"/>
  <c r="W56" i="1"/>
  <c r="V56" i="1"/>
  <c r="U56" i="1"/>
  <c r="S56" i="1"/>
  <c r="R56" i="1"/>
  <c r="N56" i="1"/>
  <c r="M56" i="1"/>
  <c r="L56" i="1"/>
  <c r="K56" i="1"/>
  <c r="J56" i="1"/>
  <c r="H56" i="1"/>
  <c r="G56" i="1"/>
  <c r="AM55" i="1"/>
  <c r="AL55" i="1"/>
  <c r="AK55" i="1"/>
  <c r="AI55" i="1"/>
  <c r="Y55" i="1"/>
  <c r="X55" i="1"/>
  <c r="W55" i="1"/>
  <c r="V55" i="1"/>
  <c r="U55" i="1"/>
  <c r="S55" i="1"/>
  <c r="R55" i="1"/>
  <c r="N55" i="1"/>
  <c r="M55" i="1"/>
  <c r="L55" i="1"/>
  <c r="K55" i="1"/>
  <c r="J55" i="1"/>
  <c r="H55" i="1"/>
  <c r="G55" i="1"/>
  <c r="AP54" i="1"/>
  <c r="AO54" i="1"/>
  <c r="AN54" i="1"/>
  <c r="AM54" i="1"/>
  <c r="AL54" i="1"/>
  <c r="AK54" i="1"/>
  <c r="AI54" i="1"/>
  <c r="Y54" i="1"/>
  <c r="X54" i="1"/>
  <c r="W54" i="1"/>
  <c r="V54" i="1"/>
  <c r="U54" i="1"/>
  <c r="S54" i="1"/>
  <c r="R54" i="1"/>
  <c r="N54" i="1"/>
  <c r="M54" i="1"/>
  <c r="L54" i="1"/>
  <c r="K54" i="1"/>
  <c r="J54" i="1"/>
  <c r="H54" i="1"/>
  <c r="G54" i="1"/>
  <c r="AP53" i="1"/>
  <c r="AO53" i="1"/>
  <c r="AN53" i="1"/>
  <c r="AM53" i="1"/>
  <c r="AL53" i="1"/>
  <c r="AK53" i="1"/>
  <c r="AI53" i="1"/>
  <c r="Y53" i="1"/>
  <c r="X53" i="1"/>
  <c r="W53" i="1"/>
  <c r="V53" i="1"/>
  <c r="U53" i="1"/>
  <c r="S53" i="1"/>
  <c r="R53" i="1"/>
  <c r="N53" i="1"/>
  <c r="M53" i="1"/>
  <c r="L53" i="1"/>
  <c r="K53" i="1"/>
  <c r="J53" i="1"/>
  <c r="H53" i="1"/>
  <c r="G53" i="1"/>
  <c r="AP52" i="1"/>
  <c r="AO52" i="1"/>
  <c r="AN52" i="1"/>
  <c r="AM52" i="1"/>
  <c r="AL52" i="1"/>
  <c r="AK52" i="1"/>
  <c r="AI52" i="1"/>
  <c r="Y52" i="1"/>
  <c r="X52" i="1"/>
  <c r="W52" i="1"/>
  <c r="V52" i="1"/>
  <c r="U52" i="1"/>
  <c r="S52" i="1"/>
  <c r="R52" i="1"/>
  <c r="N52" i="1"/>
  <c r="M52" i="1"/>
  <c r="L52" i="1"/>
  <c r="K52" i="1"/>
  <c r="J52" i="1"/>
  <c r="H52" i="1"/>
  <c r="G52" i="1"/>
  <c r="AP51" i="1"/>
  <c r="AO51" i="1"/>
  <c r="AN51" i="1"/>
  <c r="AM51" i="1"/>
  <c r="AL51" i="1"/>
  <c r="AK51" i="1"/>
  <c r="AI51" i="1"/>
  <c r="AI58" i="1" s="1"/>
  <c r="Y51" i="1"/>
  <c r="X51" i="1"/>
  <c r="W51" i="1"/>
  <c r="V51" i="1"/>
  <c r="U51" i="1"/>
  <c r="S51" i="1"/>
  <c r="R51" i="1"/>
  <c r="N51" i="1"/>
  <c r="M51" i="1"/>
  <c r="L51" i="1"/>
  <c r="K51" i="1"/>
  <c r="J51" i="1"/>
  <c r="H51" i="1"/>
  <c r="G51" i="1"/>
  <c r="AP50" i="1"/>
  <c r="AO50" i="1"/>
  <c r="AN50" i="1"/>
  <c r="AM50" i="1"/>
  <c r="AL50" i="1"/>
  <c r="AK50" i="1"/>
  <c r="AI50" i="1"/>
  <c r="Y50" i="1"/>
  <c r="X50" i="1"/>
  <c r="W50" i="1"/>
  <c r="V50" i="1"/>
  <c r="U50" i="1"/>
  <c r="S50" i="1"/>
  <c r="R50" i="1"/>
  <c r="N50" i="1"/>
  <c r="M50" i="1"/>
  <c r="L50" i="1"/>
  <c r="K50" i="1"/>
  <c r="J50" i="1"/>
  <c r="H50" i="1"/>
  <c r="G50" i="1"/>
  <c r="AP49" i="1"/>
  <c r="AO49" i="1"/>
  <c r="AN49" i="1"/>
  <c r="AN58" i="1" s="1"/>
  <c r="AM49" i="1"/>
  <c r="AL49" i="1"/>
  <c r="AL58" i="1" s="1"/>
  <c r="AK49" i="1"/>
  <c r="AI49" i="1"/>
  <c r="Y49" i="1"/>
  <c r="X49" i="1"/>
  <c r="W49" i="1"/>
  <c r="V49" i="1"/>
  <c r="U49" i="1"/>
  <c r="S49" i="1"/>
  <c r="R49" i="1"/>
  <c r="N49" i="1"/>
  <c r="M49" i="1"/>
  <c r="L49" i="1"/>
  <c r="K49" i="1"/>
  <c r="J49" i="1"/>
  <c r="J58" i="1" s="1"/>
  <c r="H49" i="1"/>
  <c r="G49" i="1"/>
  <c r="AP48" i="1"/>
  <c r="AP58" i="1" s="1"/>
  <c r="AO48" i="1"/>
  <c r="AN48" i="1"/>
  <c r="AM48" i="1"/>
  <c r="AL48" i="1"/>
  <c r="AK48" i="1"/>
  <c r="AI48" i="1"/>
  <c r="Y48" i="1"/>
  <c r="Y58" i="1" s="1"/>
  <c r="X48" i="1"/>
  <c r="X58" i="1" s="1"/>
  <c r="W48" i="1"/>
  <c r="V48" i="1"/>
  <c r="V58" i="1" s="1"/>
  <c r="U48" i="1"/>
  <c r="S48" i="1"/>
  <c r="S58" i="1" s="1"/>
  <c r="R48" i="1"/>
  <c r="N48" i="1"/>
  <c r="N58" i="1" s="1"/>
  <c r="M48" i="1"/>
  <c r="M58" i="1" s="1"/>
  <c r="L48" i="1"/>
  <c r="L58" i="1" s="1"/>
  <c r="K48" i="1"/>
  <c r="J48" i="1"/>
  <c r="H48" i="1"/>
  <c r="G48" i="1"/>
  <c r="B48" i="1"/>
  <c r="B49" i="1" s="1"/>
  <c r="AZ49" i="1" s="1"/>
  <c r="GP42" i="1"/>
  <c r="GO42" i="1"/>
  <c r="GN42" i="1"/>
  <c r="GM42" i="1"/>
  <c r="GL42" i="1"/>
  <c r="GG42" i="1"/>
  <c r="GF42" i="1"/>
  <c r="GE42" i="1"/>
  <c r="GD42" i="1"/>
  <c r="FQ42" i="1"/>
  <c r="FP42" i="1"/>
  <c r="FO42" i="1"/>
  <c r="FN42" i="1"/>
  <c r="FM42" i="1"/>
  <c r="FI42" i="1"/>
  <c r="FH42" i="1"/>
  <c r="FG42" i="1"/>
  <c r="FF42" i="1"/>
  <c r="FE42" i="1"/>
  <c r="FA42" i="1"/>
  <c r="ET42" i="1"/>
  <c r="EU42" i="1" s="1"/>
  <c r="EL42" i="1"/>
  <c r="ED42" i="1"/>
  <c r="EE42" i="1" s="1"/>
  <c r="DV42" i="1"/>
  <c r="DW42" i="1" s="1"/>
  <c r="DF42" i="1"/>
  <c r="DG42" i="1" s="1"/>
  <c r="CX42" i="1"/>
  <c r="GQ42" i="1" s="1"/>
  <c r="G42" i="1"/>
  <c r="DL42" i="1" s="1"/>
  <c r="GP41" i="1"/>
  <c r="GO41" i="1"/>
  <c r="GN41" i="1"/>
  <c r="GM41" i="1"/>
  <c r="GL41" i="1"/>
  <c r="GG41" i="1"/>
  <c r="GF41" i="1"/>
  <c r="GE41" i="1"/>
  <c r="GD41" i="1"/>
  <c r="FQ41" i="1"/>
  <c r="FP41" i="1"/>
  <c r="FO41" i="1"/>
  <c r="L41" i="1" s="1"/>
  <c r="FN41" i="1"/>
  <c r="K41" i="1" s="1"/>
  <c r="FM41" i="1"/>
  <c r="FI41" i="1"/>
  <c r="FH41" i="1"/>
  <c r="FG41" i="1"/>
  <c r="FF41" i="1"/>
  <c r="FE41" i="1"/>
  <c r="FA41" i="1"/>
  <c r="ET41" i="1"/>
  <c r="EU41" i="1" s="1"/>
  <c r="EL41" i="1"/>
  <c r="ED41" i="1"/>
  <c r="EE41" i="1" s="1"/>
  <c r="DV41" i="1"/>
  <c r="DF41" i="1"/>
  <c r="DG41" i="1" s="1"/>
  <c r="CX41" i="1"/>
  <c r="GQ41" i="1" s="1"/>
  <c r="G41" i="1"/>
  <c r="DM41" i="1" s="1"/>
  <c r="AN41" i="1" s="1"/>
  <c r="GP40" i="1"/>
  <c r="GO40" i="1"/>
  <c r="GN40" i="1"/>
  <c r="GM40" i="1"/>
  <c r="GL40" i="1"/>
  <c r="GG40" i="1"/>
  <c r="GF40" i="1"/>
  <c r="GE40" i="1"/>
  <c r="GD40" i="1"/>
  <c r="FQ40" i="1"/>
  <c r="FP40" i="1"/>
  <c r="FO40" i="1"/>
  <c r="FN40" i="1"/>
  <c r="FM40" i="1"/>
  <c r="FI40" i="1"/>
  <c r="FH40" i="1"/>
  <c r="FG40" i="1"/>
  <c r="FF40" i="1"/>
  <c r="FE40" i="1"/>
  <c r="FB40" i="1"/>
  <c r="FA40" i="1"/>
  <c r="GH40" i="1" s="1"/>
  <c r="ET40" i="1"/>
  <c r="EU40" i="1" s="1"/>
  <c r="EM40" i="1"/>
  <c r="EL40" i="1"/>
  <c r="ED40" i="1"/>
  <c r="EE40" i="1" s="1"/>
  <c r="DW40" i="1"/>
  <c r="DV40" i="1"/>
  <c r="DF40" i="1"/>
  <c r="DG40" i="1" s="1"/>
  <c r="CX40" i="1"/>
  <c r="G40" i="1"/>
  <c r="GP39" i="1"/>
  <c r="GO39" i="1"/>
  <c r="GN39" i="1"/>
  <c r="GM39" i="1"/>
  <c r="GL39" i="1"/>
  <c r="GH39" i="1"/>
  <c r="GG39" i="1"/>
  <c r="GF39" i="1"/>
  <c r="GE39" i="1"/>
  <c r="GD39" i="1"/>
  <c r="FQ39" i="1"/>
  <c r="FP39" i="1"/>
  <c r="M39" i="1" s="1"/>
  <c r="FO39" i="1"/>
  <c r="FN39" i="1"/>
  <c r="FM39" i="1"/>
  <c r="FI39" i="1"/>
  <c r="FH39" i="1"/>
  <c r="FG39" i="1"/>
  <c r="FF39" i="1"/>
  <c r="FE39" i="1"/>
  <c r="FC39" i="1"/>
  <c r="FB39" i="1"/>
  <c r="EM39" i="1"/>
  <c r="EL39" i="1"/>
  <c r="EE39" i="1"/>
  <c r="ED39" i="1"/>
  <c r="DW39" i="1"/>
  <c r="DV39" i="1"/>
  <c r="DG39" i="1"/>
  <c r="DF39" i="1"/>
  <c r="CY39" i="1"/>
  <c r="CX39" i="1"/>
  <c r="U39" i="1"/>
  <c r="G39" i="1"/>
  <c r="DM39" i="1" s="1"/>
  <c r="GP35" i="1"/>
  <c r="GO35" i="1"/>
  <c r="GN35" i="1"/>
  <c r="GM35" i="1"/>
  <c r="GL35" i="1"/>
  <c r="GI35" i="1"/>
  <c r="GH35" i="1"/>
  <c r="GG35" i="1"/>
  <c r="GF35" i="1"/>
  <c r="GE35" i="1"/>
  <c r="GD35" i="1"/>
  <c r="FS35" i="1"/>
  <c r="FQ35" i="1"/>
  <c r="FP35" i="1"/>
  <c r="FO35" i="1"/>
  <c r="FN35" i="1"/>
  <c r="FM35" i="1"/>
  <c r="FI35" i="1"/>
  <c r="FH35" i="1"/>
  <c r="FG35" i="1"/>
  <c r="FF35" i="1"/>
  <c r="FE35" i="1"/>
  <c r="CY35" i="1"/>
  <c r="GR35" i="1" s="1"/>
  <c r="CX35" i="1"/>
  <c r="GQ35" i="1" s="1"/>
  <c r="G35" i="1"/>
  <c r="H35" i="1" s="1"/>
  <c r="B35" i="1"/>
  <c r="A35" i="1"/>
  <c r="DM35" i="1" s="1"/>
  <c r="GQ34" i="1"/>
  <c r="GP34" i="1"/>
  <c r="GO34" i="1"/>
  <c r="GN34" i="1"/>
  <c r="GM34" i="1"/>
  <c r="GL34" i="1"/>
  <c r="GJ34" i="1"/>
  <c r="GI34" i="1"/>
  <c r="GH34" i="1"/>
  <c r="GG34" i="1"/>
  <c r="GF34" i="1"/>
  <c r="GE34" i="1"/>
  <c r="GD34" i="1"/>
  <c r="FS34" i="1"/>
  <c r="FR34" i="1"/>
  <c r="FQ34" i="1"/>
  <c r="FP34" i="1"/>
  <c r="FO34" i="1"/>
  <c r="FN34" i="1"/>
  <c r="FM34" i="1"/>
  <c r="FK34" i="1"/>
  <c r="FJ34" i="1"/>
  <c r="FI34" i="1"/>
  <c r="FH34" i="1"/>
  <c r="FG34" i="1"/>
  <c r="FF34" i="1"/>
  <c r="FE34" i="1"/>
  <c r="G34" i="1"/>
  <c r="DO34" i="1" s="1"/>
  <c r="AP34" i="1" s="1"/>
  <c r="B34" i="1"/>
  <c r="A34" i="1"/>
  <c r="GQ33" i="1"/>
  <c r="GP33" i="1"/>
  <c r="GO33" i="1"/>
  <c r="GN33" i="1"/>
  <c r="GM33" i="1"/>
  <c r="GL33" i="1"/>
  <c r="GJ33" i="1"/>
  <c r="GI33" i="1"/>
  <c r="GH33" i="1"/>
  <c r="GG33" i="1"/>
  <c r="GF33" i="1"/>
  <c r="GE33" i="1"/>
  <c r="GD33" i="1"/>
  <c r="FS33" i="1"/>
  <c r="FR33" i="1"/>
  <c r="FQ33" i="1"/>
  <c r="FP33" i="1"/>
  <c r="FO33" i="1"/>
  <c r="FN33" i="1"/>
  <c r="FM33" i="1"/>
  <c r="FK33" i="1"/>
  <c r="FJ33" i="1"/>
  <c r="FI33" i="1"/>
  <c r="FH33" i="1"/>
  <c r="FG33" i="1"/>
  <c r="FF33" i="1"/>
  <c r="FE33" i="1"/>
  <c r="AX33" i="1"/>
  <c r="AW33" i="1"/>
  <c r="AV33" i="1"/>
  <c r="AU33" i="1"/>
  <c r="AT33" i="1"/>
  <c r="AS33" i="1"/>
  <c r="AR33" i="1"/>
  <c r="AP33" i="1"/>
  <c r="AO33" i="1"/>
  <c r="AN33" i="1"/>
  <c r="AM33" i="1"/>
  <c r="AL33" i="1"/>
  <c r="AK33" i="1"/>
  <c r="AI33" i="1"/>
  <c r="G33" i="1"/>
  <c r="GQ32" i="1"/>
  <c r="GP32" i="1"/>
  <c r="GO32" i="1"/>
  <c r="GN32" i="1"/>
  <c r="GM32" i="1"/>
  <c r="GL32" i="1"/>
  <c r="GJ32" i="1"/>
  <c r="GI32" i="1"/>
  <c r="GH32" i="1"/>
  <c r="GG32" i="1"/>
  <c r="GF32" i="1"/>
  <c r="GE32" i="1"/>
  <c r="GD32" i="1"/>
  <c r="FS32" i="1"/>
  <c r="FR32" i="1"/>
  <c r="FQ32" i="1"/>
  <c r="FP32" i="1"/>
  <c r="FO32" i="1"/>
  <c r="FN32" i="1"/>
  <c r="FM32" i="1"/>
  <c r="FK32" i="1"/>
  <c r="FJ32" i="1"/>
  <c r="FI32" i="1"/>
  <c r="FH32" i="1"/>
  <c r="FG32" i="1"/>
  <c r="FF32" i="1"/>
  <c r="FE32" i="1"/>
  <c r="AX32" i="1"/>
  <c r="AW32" i="1"/>
  <c r="AV32" i="1"/>
  <c r="AU32" i="1"/>
  <c r="AT32" i="1"/>
  <c r="AS32" i="1"/>
  <c r="AR32" i="1"/>
  <c r="AP32" i="1"/>
  <c r="AO32" i="1"/>
  <c r="AN32" i="1"/>
  <c r="AM32" i="1"/>
  <c r="AL32" i="1"/>
  <c r="AK32" i="1"/>
  <c r="AI32" i="1"/>
  <c r="G32" i="1"/>
  <c r="Y32" i="1" s="1"/>
  <c r="GQ31" i="1"/>
  <c r="GP31" i="1"/>
  <c r="GO31" i="1"/>
  <c r="GN31" i="1"/>
  <c r="GM31" i="1"/>
  <c r="GL31" i="1"/>
  <c r="GJ31" i="1"/>
  <c r="GI31" i="1"/>
  <c r="GH31" i="1"/>
  <c r="GG31" i="1"/>
  <c r="GF31" i="1"/>
  <c r="GE31" i="1"/>
  <c r="GD31" i="1"/>
  <c r="FS31" i="1"/>
  <c r="FR31" i="1"/>
  <c r="FQ31" i="1"/>
  <c r="FP31" i="1"/>
  <c r="FO31" i="1"/>
  <c r="FN31" i="1"/>
  <c r="FM31" i="1"/>
  <c r="FK31" i="1"/>
  <c r="FJ31" i="1"/>
  <c r="FI31" i="1"/>
  <c r="FH31" i="1"/>
  <c r="FG31" i="1"/>
  <c r="FF31" i="1"/>
  <c r="FE31" i="1"/>
  <c r="AX31" i="1"/>
  <c r="AW31" i="1"/>
  <c r="AV31" i="1"/>
  <c r="AU31" i="1"/>
  <c r="AT31" i="1"/>
  <c r="AS31" i="1"/>
  <c r="AR31" i="1"/>
  <c r="AP31" i="1"/>
  <c r="AO31" i="1"/>
  <c r="AN31" i="1"/>
  <c r="AM31" i="1"/>
  <c r="AL31" i="1"/>
  <c r="AK31" i="1"/>
  <c r="AI31" i="1"/>
  <c r="G31" i="1"/>
  <c r="S31" i="1" s="1"/>
  <c r="GQ30" i="1"/>
  <c r="GP30" i="1"/>
  <c r="GO30" i="1"/>
  <c r="GN30" i="1"/>
  <c r="GM30" i="1"/>
  <c r="GL30" i="1"/>
  <c r="GJ30" i="1"/>
  <c r="Y30" i="1" s="1"/>
  <c r="GI30" i="1"/>
  <c r="X30" i="1" s="1"/>
  <c r="GH30" i="1"/>
  <c r="GG30" i="1"/>
  <c r="GF30" i="1"/>
  <c r="GE30" i="1"/>
  <c r="GD30" i="1"/>
  <c r="FS30" i="1"/>
  <c r="FR30" i="1"/>
  <c r="O30" i="1" s="1"/>
  <c r="FQ30" i="1"/>
  <c r="N30" i="1" s="1"/>
  <c r="FP30" i="1"/>
  <c r="FO30" i="1"/>
  <c r="FN30" i="1"/>
  <c r="FM30" i="1"/>
  <c r="FK30" i="1"/>
  <c r="FJ30" i="1"/>
  <c r="FI30" i="1"/>
  <c r="FH30" i="1"/>
  <c r="FG30" i="1"/>
  <c r="FF30" i="1"/>
  <c r="FE30" i="1"/>
  <c r="AX30" i="1"/>
  <c r="AW30" i="1"/>
  <c r="AV30" i="1"/>
  <c r="AU30" i="1"/>
  <c r="AT30" i="1"/>
  <c r="AS30" i="1"/>
  <c r="AR30" i="1"/>
  <c r="AP30" i="1"/>
  <c r="AO30" i="1"/>
  <c r="AN30" i="1"/>
  <c r="AM30" i="1"/>
  <c r="AL30" i="1"/>
  <c r="AK30" i="1"/>
  <c r="AI30" i="1"/>
  <c r="G30" i="1"/>
  <c r="B30" i="1"/>
  <c r="B31" i="1" s="1"/>
  <c r="B32" i="1" s="1"/>
  <c r="B33" i="1" s="1"/>
  <c r="AZ33" i="1" s="1"/>
  <c r="BA33" i="1" s="1"/>
  <c r="A30" i="1"/>
  <c r="A39" i="1" s="1"/>
  <c r="A40" i="1" s="1"/>
  <c r="A41" i="1" s="1"/>
  <c r="A42" i="1" s="1"/>
  <c r="GP26" i="1"/>
  <c r="GO26" i="1"/>
  <c r="GN26" i="1"/>
  <c r="GM26" i="1"/>
  <c r="GL26" i="1"/>
  <c r="GB26" i="1"/>
  <c r="GA26" i="1"/>
  <c r="FZ26" i="1"/>
  <c r="FY26" i="1"/>
  <c r="FX26" i="1"/>
  <c r="FW26" i="1"/>
  <c r="FV26" i="1"/>
  <c r="FS26" i="1"/>
  <c r="FR26" i="1"/>
  <c r="FQ26" i="1"/>
  <c r="FP26" i="1"/>
  <c r="FO26" i="1"/>
  <c r="FN26" i="1"/>
  <c r="FM26" i="1"/>
  <c r="FK26" i="1"/>
  <c r="FJ26" i="1"/>
  <c r="FI26" i="1"/>
  <c r="FH26" i="1"/>
  <c r="FG26" i="1"/>
  <c r="FF26" i="1"/>
  <c r="FE26" i="1"/>
  <c r="CO26" i="1"/>
  <c r="CC26" i="1"/>
  <c r="BU26" i="1"/>
  <c r="BS26" i="1"/>
  <c r="BM26" i="1"/>
  <c r="BJ26" i="1"/>
  <c r="G26" i="1"/>
  <c r="DK26" i="1" s="1"/>
  <c r="FV25" i="1"/>
  <c r="CS25" i="1"/>
  <c r="GL25" i="1" s="1"/>
  <c r="CC25" i="1"/>
  <c r="BU25" i="1"/>
  <c r="BS25" i="1"/>
  <c r="BM25" i="1"/>
  <c r="AI25" i="1"/>
  <c r="G25" i="1"/>
  <c r="AA25" i="1" s="1"/>
  <c r="GN24" i="1"/>
  <c r="GM24" i="1"/>
  <c r="GL24" i="1"/>
  <c r="FX24" i="1"/>
  <c r="FW24" i="1"/>
  <c r="FV24" i="1"/>
  <c r="FN24" i="1"/>
  <c r="FM24" i="1"/>
  <c r="FG24" i="1"/>
  <c r="FF24" i="1"/>
  <c r="FE24" i="1"/>
  <c r="EL24" i="1"/>
  <c r="EK24" i="1"/>
  <c r="EJ24" i="1"/>
  <c r="EI24" i="1"/>
  <c r="FO24" i="1" s="1"/>
  <c r="ED24" i="1"/>
  <c r="EE24" i="1" s="1"/>
  <c r="DV24" i="1"/>
  <c r="DW24" i="1" s="1"/>
  <c r="DD24" i="1"/>
  <c r="DA24" i="1"/>
  <c r="CV24" i="1"/>
  <c r="CM24" i="1"/>
  <c r="CC24" i="1"/>
  <c r="BM24" i="1" s="1"/>
  <c r="BU24" i="1"/>
  <c r="BS24" i="1"/>
  <c r="G24" i="1"/>
  <c r="GN23" i="1"/>
  <c r="GM23" i="1"/>
  <c r="GL23" i="1"/>
  <c r="GF23" i="1"/>
  <c r="GE23" i="1"/>
  <c r="GD23" i="1"/>
  <c r="FO23" i="1"/>
  <c r="FN23" i="1"/>
  <c r="FM23" i="1"/>
  <c r="FG23" i="1"/>
  <c r="FF23" i="1"/>
  <c r="FE23" i="1"/>
  <c r="DD23" i="1"/>
  <c r="DC23" i="1"/>
  <c r="DB23" i="1"/>
  <c r="DA23" i="1"/>
  <c r="CV23" i="1"/>
  <c r="CC23" i="1"/>
  <c r="BM23" i="1" s="1"/>
  <c r="BU23" i="1"/>
  <c r="BS23" i="1"/>
  <c r="G23" i="1"/>
  <c r="DJ23" i="1" s="1"/>
  <c r="AK23" i="1" s="1"/>
  <c r="GR22" i="1"/>
  <c r="GQ22" i="1"/>
  <c r="GP22" i="1"/>
  <c r="GO22" i="1"/>
  <c r="GN22" i="1"/>
  <c r="GM22" i="1"/>
  <c r="GL22" i="1"/>
  <c r="GJ22" i="1"/>
  <c r="GI22" i="1"/>
  <c r="GH22" i="1"/>
  <c r="GG22" i="1"/>
  <c r="GF22" i="1"/>
  <c r="GE22" i="1"/>
  <c r="GD22" i="1"/>
  <c r="FS22" i="1"/>
  <c r="FR22" i="1"/>
  <c r="FQ22" i="1"/>
  <c r="FP22" i="1"/>
  <c r="FO22" i="1"/>
  <c r="FN22" i="1"/>
  <c r="FM22" i="1"/>
  <c r="FK22" i="1"/>
  <c r="FJ22" i="1"/>
  <c r="FI22" i="1"/>
  <c r="FH22" i="1"/>
  <c r="FG22" i="1"/>
  <c r="FF22" i="1"/>
  <c r="FE22" i="1"/>
  <c r="CD22" i="1"/>
  <c r="CC22" i="1"/>
  <c r="BU22" i="1"/>
  <c r="BM22" i="1"/>
  <c r="G22" i="1"/>
  <c r="J22" i="1" s="1"/>
  <c r="ES19" i="1"/>
  <c r="EK19" i="1"/>
  <c r="DU19" i="1"/>
  <c r="DU21" i="1" s="1"/>
  <c r="CN19" i="1"/>
  <c r="GR18" i="1"/>
  <c r="GQ18" i="1"/>
  <c r="GP18" i="1"/>
  <c r="GO18" i="1"/>
  <c r="AD18" i="1" s="1"/>
  <c r="GN18" i="1"/>
  <c r="GJ18" i="1"/>
  <c r="GI18" i="1"/>
  <c r="GH18" i="1"/>
  <c r="GG18" i="1"/>
  <c r="GF18" i="1"/>
  <c r="FS18" i="1"/>
  <c r="FR18" i="1"/>
  <c r="FQ18" i="1"/>
  <c r="FP18" i="1"/>
  <c r="FO18" i="1"/>
  <c r="FK18" i="1"/>
  <c r="FJ18" i="1"/>
  <c r="FI18" i="1"/>
  <c r="FH18" i="1"/>
  <c r="FG18" i="1"/>
  <c r="DY18" i="1"/>
  <c r="DB18" i="1"/>
  <c r="DA18" i="1"/>
  <c r="CS18" i="1"/>
  <c r="GD18" i="1" s="1"/>
  <c r="R18" i="1" s="1"/>
  <c r="CJ18" i="1"/>
  <c r="GL18" i="1" s="1"/>
  <c r="CC18" i="1"/>
  <c r="BM18" i="1" s="1"/>
  <c r="BU18" i="1"/>
  <c r="W18" i="1"/>
  <c r="P18" i="1"/>
  <c r="G18" i="1"/>
  <c r="DO18" i="1" s="1"/>
  <c r="GO17" i="1"/>
  <c r="GN17" i="1"/>
  <c r="GM17" i="1"/>
  <c r="GL17" i="1"/>
  <c r="GI17" i="1"/>
  <c r="GG17" i="1"/>
  <c r="GF17" i="1"/>
  <c r="GE17" i="1"/>
  <c r="GD17" i="1"/>
  <c r="FR17" i="1"/>
  <c r="FQ17" i="1"/>
  <c r="FP17" i="1"/>
  <c r="FO17" i="1"/>
  <c r="FN17" i="1"/>
  <c r="FM17" i="1"/>
  <c r="FJ17" i="1"/>
  <c r="FI17" i="1"/>
  <c r="FH17" i="1"/>
  <c r="FG17" i="1"/>
  <c r="FF17" i="1"/>
  <c r="FE17" i="1"/>
  <c r="FC17" i="1"/>
  <c r="GJ17" i="1" s="1"/>
  <c r="FB17" i="1"/>
  <c r="FA17" i="1"/>
  <c r="GH17" i="1" s="1"/>
  <c r="EM17" i="1"/>
  <c r="FS17" i="1" s="1"/>
  <c r="EE17" i="1"/>
  <c r="FK17" i="1" s="1"/>
  <c r="DW17" i="1"/>
  <c r="DD17" i="1"/>
  <c r="DC17" i="1"/>
  <c r="DB17" i="1"/>
  <c r="DA17" i="1"/>
  <c r="CO17" i="1"/>
  <c r="GQ17" i="1" s="1"/>
  <c r="CN17" i="1"/>
  <c r="CP17" i="1" s="1"/>
  <c r="GR17" i="1" s="1"/>
  <c r="CC17" i="1"/>
  <c r="BJ17" i="1" s="1"/>
  <c r="BU17" i="1"/>
  <c r="BS17" i="1"/>
  <c r="G17" i="1"/>
  <c r="DN17" i="1" s="1"/>
  <c r="GN16" i="1"/>
  <c r="GM16" i="1"/>
  <c r="GL16" i="1"/>
  <c r="GF16" i="1"/>
  <c r="GE16" i="1"/>
  <c r="FO16" i="1"/>
  <c r="FN16" i="1"/>
  <c r="FM16" i="1"/>
  <c r="FG16" i="1"/>
  <c r="FF16" i="1"/>
  <c r="FE16" i="1"/>
  <c r="EL16" i="1"/>
  <c r="ET16" i="1" s="1"/>
  <c r="EE16" i="1"/>
  <c r="ED16" i="1"/>
  <c r="EL19" i="1" s="1"/>
  <c r="DW16" i="1"/>
  <c r="DV16" i="1"/>
  <c r="DD16" i="1"/>
  <c r="DC16" i="1"/>
  <c r="DB16" i="1"/>
  <c r="DA16" i="1"/>
  <c r="CV16" i="1"/>
  <c r="GG16" i="1" s="1"/>
  <c r="CC16" i="1"/>
  <c r="BM16" i="1" s="1"/>
  <c r="BU16" i="1"/>
  <c r="BJ16" i="1"/>
  <c r="G16" i="1"/>
  <c r="GR15" i="1"/>
  <c r="GQ15" i="1"/>
  <c r="GP15" i="1"/>
  <c r="GO15" i="1"/>
  <c r="GN15" i="1"/>
  <c r="GM15" i="1"/>
  <c r="GL15" i="1"/>
  <c r="GJ15" i="1"/>
  <c r="GI15" i="1"/>
  <c r="GH15" i="1"/>
  <c r="GG15" i="1"/>
  <c r="GF15" i="1"/>
  <c r="GE15" i="1"/>
  <c r="GD15" i="1"/>
  <c r="GB15" i="1"/>
  <c r="GA15" i="1"/>
  <c r="FZ15" i="1"/>
  <c r="FY15" i="1"/>
  <c r="FX15" i="1"/>
  <c r="FW15" i="1"/>
  <c r="FV15" i="1"/>
  <c r="FS15" i="1"/>
  <c r="FR15" i="1"/>
  <c r="FQ15" i="1"/>
  <c r="FP15" i="1"/>
  <c r="FO15" i="1"/>
  <c r="FN15" i="1"/>
  <c r="FM15" i="1"/>
  <c r="FK15" i="1"/>
  <c r="FJ15" i="1"/>
  <c r="FI15" i="1"/>
  <c r="FH15" i="1"/>
  <c r="FG15" i="1"/>
  <c r="FF15" i="1"/>
  <c r="FE15" i="1"/>
  <c r="CR15" i="1"/>
  <c r="CC15" i="1"/>
  <c r="BU15" i="1"/>
  <c r="BJ15" i="1"/>
  <c r="G15" i="1"/>
  <c r="DN15" i="1" s="1"/>
  <c r="GR14" i="1"/>
  <c r="GQ14" i="1"/>
  <c r="GP14" i="1"/>
  <c r="GO14" i="1"/>
  <c r="GN14" i="1"/>
  <c r="GM14" i="1"/>
  <c r="GL14" i="1"/>
  <c r="GJ14" i="1"/>
  <c r="GI14" i="1"/>
  <c r="GH14" i="1"/>
  <c r="GG14" i="1"/>
  <c r="GF14" i="1"/>
  <c r="GE14" i="1"/>
  <c r="GD14" i="1"/>
  <c r="GB14" i="1"/>
  <c r="GA14" i="1"/>
  <c r="FZ14" i="1"/>
  <c r="FY14" i="1"/>
  <c r="FX14" i="1"/>
  <c r="FW14" i="1"/>
  <c r="FV14" i="1"/>
  <c r="FS14" i="1"/>
  <c r="FR14" i="1"/>
  <c r="FQ14" i="1"/>
  <c r="FP14" i="1"/>
  <c r="FO14" i="1"/>
  <c r="FN14" i="1"/>
  <c r="FM14" i="1"/>
  <c r="FK14" i="1"/>
  <c r="FJ14" i="1"/>
  <c r="FI14" i="1"/>
  <c r="FH14" i="1"/>
  <c r="FG14" i="1"/>
  <c r="FF14" i="1"/>
  <c r="FE14" i="1"/>
  <c r="CC14" i="1"/>
  <c r="BU14" i="1"/>
  <c r="BM14" i="1"/>
  <c r="BJ14" i="1"/>
  <c r="G14" i="1"/>
  <c r="DN14" i="1" s="1"/>
  <c r="GR13" i="1"/>
  <c r="GQ13" i="1"/>
  <c r="GP13" i="1"/>
  <c r="GO13" i="1"/>
  <c r="GN13" i="1"/>
  <c r="GM13" i="1"/>
  <c r="GL13" i="1"/>
  <c r="GJ13" i="1"/>
  <c r="GI13" i="1"/>
  <c r="GH13" i="1"/>
  <c r="GG13" i="1"/>
  <c r="GF13" i="1"/>
  <c r="GE13" i="1"/>
  <c r="GD13" i="1"/>
  <c r="GB13" i="1"/>
  <c r="GA13" i="1"/>
  <c r="FZ13" i="1"/>
  <c r="FY13" i="1"/>
  <c r="FX13" i="1"/>
  <c r="FW13" i="1"/>
  <c r="FV13" i="1"/>
  <c r="FS13" i="1"/>
  <c r="FR13" i="1"/>
  <c r="FQ13" i="1"/>
  <c r="FP13" i="1"/>
  <c r="FO13" i="1"/>
  <c r="FN13" i="1"/>
  <c r="FM13" i="1"/>
  <c r="FK13" i="1"/>
  <c r="FJ13" i="1"/>
  <c r="FI13" i="1"/>
  <c r="FH13" i="1"/>
  <c r="FG13" i="1"/>
  <c r="FF13" i="1"/>
  <c r="FE13" i="1"/>
  <c r="CC13" i="1"/>
  <c r="CA13" i="1"/>
  <c r="BU13" i="1"/>
  <c r="BJ13" i="1"/>
  <c r="G13" i="1"/>
  <c r="DN13" i="1" s="1"/>
  <c r="GR12" i="1"/>
  <c r="GQ12" i="1"/>
  <c r="GP12" i="1"/>
  <c r="GO12" i="1"/>
  <c r="GN12" i="1"/>
  <c r="GM12" i="1"/>
  <c r="GL12" i="1"/>
  <c r="GJ12" i="1"/>
  <c r="GI12" i="1"/>
  <c r="GH12" i="1"/>
  <c r="GG12" i="1"/>
  <c r="V12" i="1" s="1"/>
  <c r="GF12" i="1"/>
  <c r="GE12" i="1"/>
  <c r="GD12" i="1"/>
  <c r="FS12" i="1"/>
  <c r="FR12" i="1"/>
  <c r="FQ12" i="1"/>
  <c r="FP12" i="1"/>
  <c r="M12" i="1" s="1"/>
  <c r="FO12" i="1"/>
  <c r="FN12" i="1"/>
  <c r="FM12" i="1"/>
  <c r="FK12" i="1"/>
  <c r="FJ12" i="1"/>
  <c r="FI12" i="1"/>
  <c r="FH12" i="1"/>
  <c r="FG12" i="1"/>
  <c r="FF12" i="1"/>
  <c r="FE12" i="1"/>
  <c r="CC12" i="1"/>
  <c r="BU12" i="1"/>
  <c r="BM12" i="1"/>
  <c r="G12" i="1"/>
  <c r="GR11" i="1"/>
  <c r="GQ11" i="1"/>
  <c r="GP11" i="1"/>
  <c r="GO11" i="1"/>
  <c r="GN11" i="1"/>
  <c r="GM11" i="1"/>
  <c r="GL11" i="1"/>
  <c r="GJ11" i="1"/>
  <c r="GI11" i="1"/>
  <c r="GH11" i="1"/>
  <c r="GG11" i="1"/>
  <c r="GF11" i="1"/>
  <c r="GE11" i="1"/>
  <c r="GD11" i="1"/>
  <c r="GB11" i="1"/>
  <c r="GA11" i="1"/>
  <c r="FZ11" i="1"/>
  <c r="FY11" i="1"/>
  <c r="FX11" i="1"/>
  <c r="FW11" i="1"/>
  <c r="FV11" i="1"/>
  <c r="FS11" i="1"/>
  <c r="FR11" i="1"/>
  <c r="FQ11" i="1"/>
  <c r="FP11" i="1"/>
  <c r="FO11" i="1"/>
  <c r="FN11" i="1"/>
  <c r="FM11" i="1"/>
  <c r="FK11" i="1"/>
  <c r="FJ11" i="1"/>
  <c r="FI11" i="1"/>
  <c r="FH11" i="1"/>
  <c r="FG11" i="1"/>
  <c r="FF11" i="1"/>
  <c r="FE11" i="1"/>
  <c r="BU11" i="1"/>
  <c r="BS11" i="1"/>
  <c r="BM11" i="1"/>
  <c r="BJ11" i="1"/>
  <c r="G11" i="1"/>
  <c r="DL11" i="1" s="1"/>
  <c r="GR10" i="1"/>
  <c r="GQ10" i="1"/>
  <c r="GP10" i="1"/>
  <c r="GO10" i="1"/>
  <c r="GN10" i="1"/>
  <c r="GM10" i="1"/>
  <c r="GL10" i="1"/>
  <c r="GJ10" i="1"/>
  <c r="GI10" i="1"/>
  <c r="GH10" i="1"/>
  <c r="GG10" i="1"/>
  <c r="GF10" i="1"/>
  <c r="GE10" i="1"/>
  <c r="GD10" i="1"/>
  <c r="GB10" i="1"/>
  <c r="GA10" i="1"/>
  <c r="FZ10" i="1"/>
  <c r="FY10" i="1"/>
  <c r="FX10" i="1"/>
  <c r="FW10" i="1"/>
  <c r="FV10" i="1"/>
  <c r="FS10" i="1"/>
  <c r="FR10" i="1"/>
  <c r="FQ10" i="1"/>
  <c r="FP10" i="1"/>
  <c r="FO10" i="1"/>
  <c r="FN10" i="1"/>
  <c r="FM10" i="1"/>
  <c r="FK10" i="1"/>
  <c r="FJ10" i="1"/>
  <c r="FI10" i="1"/>
  <c r="FH10" i="1"/>
  <c r="FG10" i="1"/>
  <c r="FF10" i="1"/>
  <c r="FE10" i="1"/>
  <c r="CC10" i="1"/>
  <c r="BU10" i="1"/>
  <c r="BS10" i="1"/>
  <c r="BM10" i="1"/>
  <c r="BJ10" i="1"/>
  <c r="G10" i="1"/>
  <c r="DI10" i="1" s="1"/>
  <c r="AR10" i="1" s="1"/>
  <c r="B10" i="1"/>
  <c r="B11" i="1" s="1"/>
  <c r="B12" i="1" s="1"/>
  <c r="B13" i="1" s="1"/>
  <c r="B22" i="1" s="1"/>
  <c r="B14" i="1" s="1"/>
  <c r="B15" i="1" s="1"/>
  <c r="B23" i="1" s="1"/>
  <c r="A10" i="1"/>
  <c r="A11" i="1" s="1"/>
  <c r="A12" i="1" s="1"/>
  <c r="BZ7" i="1"/>
  <c r="CC7" i="1" s="1"/>
  <c r="CA7" i="1" s="1"/>
  <c r="CB7" i="1" s="1"/>
  <c r="CD7" i="1" s="1"/>
  <c r="BX42" i="5"/>
  <c r="BQ42" i="5"/>
  <c r="BP42" i="5"/>
  <c r="BN42" i="5"/>
  <c r="BL42" i="5"/>
  <c r="BI42" i="5"/>
  <c r="BF42" i="5"/>
  <c r="CA42" i="5" s="1"/>
  <c r="BE42" i="5"/>
  <c r="BZ42" i="5" s="1"/>
  <c r="BD42" i="5"/>
  <c r="BY42" i="5" s="1"/>
  <c r="AR42" i="5"/>
  <c r="AN42" i="5"/>
  <c r="AM42" i="5"/>
  <c r="BK42" i="5" s="1"/>
  <c r="AL42" i="5"/>
  <c r="BJ42" i="5" s="1"/>
  <c r="AH42" i="5"/>
  <c r="AG42" i="5"/>
  <c r="AF42" i="5"/>
  <c r="V42" i="5"/>
  <c r="U42" i="5"/>
  <c r="T42" i="5"/>
  <c r="N42" i="5"/>
  <c r="BO42" i="5" s="1"/>
  <c r="I42" i="5"/>
  <c r="CF42" i="5" s="1"/>
  <c r="H42" i="5"/>
  <c r="CE42" i="5" s="1"/>
  <c r="G42" i="5"/>
  <c r="CD42" i="5" s="1"/>
  <c r="F42" i="5"/>
  <c r="CC42" i="5" s="1"/>
  <c r="AS39" i="5"/>
  <c r="AR39" i="5"/>
  <c r="AQ39" i="5"/>
  <c r="AT37" i="5"/>
  <c r="AT36" i="5" s="1"/>
  <c r="BQ36" i="5" s="1"/>
  <c r="AS37" i="5"/>
  <c r="AS36" i="5" s="1"/>
  <c r="BP36" i="5" s="1"/>
  <c r="AR37" i="5"/>
  <c r="AQ37" i="5"/>
  <c r="BK36" i="5"/>
  <c r="BF36" i="5"/>
  <c r="CA36" i="5" s="1"/>
  <c r="BE36" i="5"/>
  <c r="BZ36" i="5" s="1"/>
  <c r="BD36" i="5"/>
  <c r="BC36" i="5"/>
  <c r="AR36" i="5"/>
  <c r="BO36" i="5" s="1"/>
  <c r="AQ36" i="5"/>
  <c r="BN36" i="5" s="1"/>
  <c r="AN36" i="5"/>
  <c r="BL36" i="5" s="1"/>
  <c r="AM36" i="5"/>
  <c r="AL36" i="5"/>
  <c r="AK36" i="5"/>
  <c r="AG36" i="5"/>
  <c r="AF36" i="5"/>
  <c r="AE36" i="5"/>
  <c r="V36" i="5"/>
  <c r="U36" i="5"/>
  <c r="T36" i="5"/>
  <c r="S36" i="5"/>
  <c r="P36" i="5"/>
  <c r="O36" i="5"/>
  <c r="N36" i="5"/>
  <c r="M36" i="5"/>
  <c r="I36" i="5"/>
  <c r="CF36" i="5" s="1"/>
  <c r="H36" i="5"/>
  <c r="CE36" i="5" s="1"/>
  <c r="G36" i="5"/>
  <c r="CD36" i="5" s="1"/>
  <c r="F36" i="5"/>
  <c r="CC36" i="5" s="1"/>
  <c r="AS34" i="5"/>
  <c r="AR34" i="5"/>
  <c r="AQ34" i="5"/>
  <c r="AT32" i="5"/>
  <c r="AT30" i="5" s="1"/>
  <c r="BQ30" i="5" s="1"/>
  <c r="AS32" i="5"/>
  <c r="AS30" i="5" s="1"/>
  <c r="BP30" i="5" s="1"/>
  <c r="AR32" i="5"/>
  <c r="AR30" i="5" s="1"/>
  <c r="BO30" i="5" s="1"/>
  <c r="AQ32" i="5"/>
  <c r="AH32" i="5"/>
  <c r="AG32" i="5"/>
  <c r="AF32" i="5"/>
  <c r="AE32" i="5"/>
  <c r="AH31" i="5"/>
  <c r="AH30" i="5" s="1"/>
  <c r="AG31" i="5"/>
  <c r="AG30" i="5" s="1"/>
  <c r="AF31" i="5"/>
  <c r="AF30" i="5" s="1"/>
  <c r="AE31" i="5"/>
  <c r="BF30" i="5"/>
  <c r="CA30" i="5" s="1"/>
  <c r="BE30" i="5"/>
  <c r="BZ30" i="5" s="1"/>
  <c r="BD30" i="5"/>
  <c r="BY30" i="5" s="1"/>
  <c r="BC30" i="5"/>
  <c r="EW16" i="1" s="1"/>
  <c r="GD16" i="1" s="1"/>
  <c r="R16" i="1" s="1"/>
  <c r="AQ30" i="5"/>
  <c r="AN30" i="5"/>
  <c r="BL30" i="5" s="1"/>
  <c r="AM30" i="5"/>
  <c r="BK30" i="5" s="1"/>
  <c r="AL30" i="5"/>
  <c r="BJ30" i="5" s="1"/>
  <c r="AK30" i="5"/>
  <c r="BI30" i="5" s="1"/>
  <c r="AE30" i="5"/>
  <c r="V30" i="5"/>
  <c r="U30" i="5"/>
  <c r="T30" i="5"/>
  <c r="S30" i="5"/>
  <c r="P30" i="5"/>
  <c r="O30" i="5"/>
  <c r="N30" i="5"/>
  <c r="M30" i="5"/>
  <c r="I30" i="5"/>
  <c r="CF30" i="5" s="1"/>
  <c r="H30" i="5"/>
  <c r="CE30" i="5" s="1"/>
  <c r="G30" i="5"/>
  <c r="CD30" i="5" s="1"/>
  <c r="F30" i="5"/>
  <c r="CC30" i="5" s="1"/>
  <c r="AS28" i="5"/>
  <c r="AR28" i="5"/>
  <c r="AQ28" i="5"/>
  <c r="AT26" i="5"/>
  <c r="AS26" i="5"/>
  <c r="AS24" i="5" s="1"/>
  <c r="BP24" i="5" s="1"/>
  <c r="AR26" i="5"/>
  <c r="AR24" i="5" s="1"/>
  <c r="AQ26" i="5"/>
  <c r="AQ24" i="5" s="1"/>
  <c r="BN24" i="5" s="1"/>
  <c r="V26" i="5"/>
  <c r="U26" i="5"/>
  <c r="T26" i="5"/>
  <c r="S26" i="5"/>
  <c r="V25" i="5"/>
  <c r="U25" i="5"/>
  <c r="U24" i="5" s="1"/>
  <c r="T25" i="5"/>
  <c r="T24" i="5" s="1"/>
  <c r="S25" i="5"/>
  <c r="S24" i="5" s="1"/>
  <c r="AT24" i="5"/>
  <c r="BQ24" i="5" s="1"/>
  <c r="AN24" i="5"/>
  <c r="AM24" i="5"/>
  <c r="BK24" i="5" s="1"/>
  <c r="AL24" i="5"/>
  <c r="AK24" i="5"/>
  <c r="BI24" i="5" s="1"/>
  <c r="V24" i="5"/>
  <c r="P24" i="5"/>
  <c r="O24" i="5"/>
  <c r="N24" i="5"/>
  <c r="M24" i="5"/>
  <c r="I24" i="5"/>
  <c r="CF24" i="5" s="1"/>
  <c r="H24" i="5"/>
  <c r="G24" i="5"/>
  <c r="F24" i="5"/>
  <c r="V19" i="5"/>
  <c r="U19" i="5"/>
  <c r="U18" i="5" s="1"/>
  <c r="T19" i="5"/>
  <c r="T18" i="5" s="1"/>
  <c r="S19" i="5"/>
  <c r="S18" i="5" s="1"/>
  <c r="BF18" i="5"/>
  <c r="BE18" i="5"/>
  <c r="BZ18" i="5" s="1"/>
  <c r="BD18" i="5"/>
  <c r="BC18" i="5"/>
  <c r="BX18" i="5" s="1"/>
  <c r="AZ18" i="5"/>
  <c r="AY18" i="5"/>
  <c r="AX18" i="5"/>
  <c r="AW18" i="5"/>
  <c r="AS18" i="5"/>
  <c r="AR18" i="5"/>
  <c r="AQ18" i="5"/>
  <c r="BN18" i="5" s="1"/>
  <c r="AN18" i="5"/>
  <c r="AM18" i="5"/>
  <c r="BK18" i="5" s="1"/>
  <c r="AL18" i="5"/>
  <c r="AK18" i="5"/>
  <c r="BI18" i="5" s="1"/>
  <c r="AH18" i="5"/>
  <c r="AG18" i="5"/>
  <c r="AF18" i="5"/>
  <c r="AE18" i="5"/>
  <c r="V18" i="5"/>
  <c r="P18" i="5"/>
  <c r="CA18" i="5" s="1"/>
  <c r="O18" i="5"/>
  <c r="BP18" i="5" s="1"/>
  <c r="N18" i="5"/>
  <c r="M18" i="5"/>
  <c r="I18" i="5"/>
  <c r="CF18" i="5" s="1"/>
  <c r="H18" i="5"/>
  <c r="CE18" i="5" s="1"/>
  <c r="G18" i="5"/>
  <c r="F18" i="5"/>
  <c r="CF15" i="5"/>
  <c r="CE15" i="5"/>
  <c r="CD15" i="5"/>
  <c r="CC15" i="5"/>
  <c r="CA15" i="5"/>
  <c r="BZ15" i="5"/>
  <c r="BY15" i="5"/>
  <c r="BX15" i="5"/>
  <c r="BV15" i="5"/>
  <c r="BU15" i="5"/>
  <c r="BT15" i="5"/>
  <c r="BS15" i="5"/>
  <c r="BQ15" i="5"/>
  <c r="BP15" i="5"/>
  <c r="BO15" i="5"/>
  <c r="BN15" i="5"/>
  <c r="BL15" i="5"/>
  <c r="BK15" i="5"/>
  <c r="BJ15" i="5"/>
  <c r="BI15" i="5"/>
  <c r="V15" i="5"/>
  <c r="U15" i="5"/>
  <c r="T15" i="5"/>
  <c r="S15" i="5"/>
  <c r="CF14" i="5"/>
  <c r="CE14" i="5"/>
  <c r="CD14" i="5"/>
  <c r="CC14" i="5"/>
  <c r="CA14" i="5"/>
  <c r="BZ14" i="5"/>
  <c r="BY14" i="5"/>
  <c r="BX14" i="5"/>
  <c r="BV14" i="5"/>
  <c r="BU14" i="5"/>
  <c r="BT14" i="5"/>
  <c r="BS14" i="5"/>
  <c r="BQ14" i="5"/>
  <c r="BP14" i="5"/>
  <c r="BO14" i="5"/>
  <c r="BN14" i="5"/>
  <c r="BL14" i="5"/>
  <c r="BK14" i="5"/>
  <c r="BJ14" i="5"/>
  <c r="BI14" i="5"/>
  <c r="V14" i="5"/>
  <c r="V13" i="5" s="1"/>
  <c r="U14" i="5"/>
  <c r="T14" i="5"/>
  <c r="T13" i="5" s="1"/>
  <c r="S14" i="5"/>
  <c r="CF13" i="5"/>
  <c r="CE13" i="5"/>
  <c r="CD13" i="5"/>
  <c r="CC13" i="5"/>
  <c r="CA13" i="5"/>
  <c r="BZ13" i="5"/>
  <c r="BY13" i="5"/>
  <c r="BX13" i="5"/>
  <c r="BV13" i="5"/>
  <c r="BU13" i="5"/>
  <c r="BT13" i="5"/>
  <c r="BS13" i="5"/>
  <c r="BQ13" i="5"/>
  <c r="BP13" i="5"/>
  <c r="BO13" i="5"/>
  <c r="BN13" i="5"/>
  <c r="BL13" i="5"/>
  <c r="BK13" i="5"/>
  <c r="BJ13" i="5"/>
  <c r="BI13" i="5"/>
  <c r="BF13" i="5"/>
  <c r="BE13" i="5"/>
  <c r="BD13" i="5"/>
  <c r="BC13" i="5"/>
  <c r="AT13" i="5"/>
  <c r="AS13" i="5"/>
  <c r="AR13" i="5"/>
  <c r="AN13" i="5"/>
  <c r="AM13" i="5"/>
  <c r="AL13" i="5"/>
  <c r="AK13" i="5"/>
  <c r="AH13" i="5"/>
  <c r="AG13" i="5"/>
  <c r="AF13" i="5"/>
  <c r="AE13" i="5"/>
  <c r="U13" i="5"/>
  <c r="S13" i="5"/>
  <c r="P13" i="5"/>
  <c r="O13" i="5"/>
  <c r="N13" i="5"/>
  <c r="M13" i="5"/>
  <c r="I13" i="5"/>
  <c r="H13" i="5"/>
  <c r="G13" i="5"/>
  <c r="F13" i="5"/>
  <c r="V6" i="5"/>
  <c r="U6" i="5"/>
  <c r="T6" i="5"/>
  <c r="S6" i="5"/>
  <c r="BF4" i="5"/>
  <c r="BE4" i="5"/>
  <c r="BD4" i="5"/>
  <c r="BC4" i="5"/>
  <c r="AZ4" i="5"/>
  <c r="AY4" i="5"/>
  <c r="AX4" i="5"/>
  <c r="AW4" i="5"/>
  <c r="AT4" i="5"/>
  <c r="AS4" i="5"/>
  <c r="AR4" i="5"/>
  <c r="AQ4" i="5"/>
  <c r="AN4" i="5"/>
  <c r="AM4" i="5"/>
  <c r="AL4" i="5"/>
  <c r="AK4" i="5"/>
  <c r="AH4" i="5"/>
  <c r="AG4" i="5"/>
  <c r="AF4" i="5"/>
  <c r="AE4" i="5"/>
  <c r="V4" i="5"/>
  <c r="U4" i="5"/>
  <c r="T4" i="5"/>
  <c r="S4" i="5"/>
  <c r="P4" i="5"/>
  <c r="O4" i="5"/>
  <c r="N4" i="5"/>
  <c r="M4" i="5"/>
  <c r="I4" i="5"/>
  <c r="H4" i="5"/>
  <c r="G4" i="5"/>
  <c r="F4" i="5"/>
  <c r="B16" i="3"/>
  <c r="D62" i="3"/>
  <c r="D58" i="3"/>
  <c r="D54" i="3"/>
  <c r="D49" i="3"/>
  <c r="D47" i="3"/>
  <c r="D38" i="3"/>
  <c r="D36" i="3"/>
  <c r="B23" i="3"/>
  <c r="B15" i="3"/>
  <c r="B8" i="3"/>
  <c r="B10" i="3"/>
  <c r="D42" i="3"/>
  <c r="D44" i="3"/>
  <c r="D40" i="3"/>
  <c r="B20" i="3"/>
  <c r="B18" i="3"/>
  <c r="B17" i="3"/>
  <c r="D39" i="3"/>
  <c r="D57" i="3"/>
  <c r="BZ36" i="7"/>
  <c r="BZ34" i="7"/>
  <c r="BZ32" i="7"/>
  <c r="BZ28" i="7"/>
  <c r="BZ26" i="7"/>
  <c r="BZ24" i="7"/>
  <c r="BZ22" i="7"/>
  <c r="BZ18" i="7"/>
  <c r="BZ16" i="7"/>
  <c r="BZ14" i="7"/>
  <c r="BZ12" i="7"/>
  <c r="BZ10" i="7"/>
  <c r="BZ8" i="7"/>
  <c r="CL9" i="7"/>
  <c r="CL11" i="7"/>
  <c r="CL13" i="7"/>
  <c r="CL15" i="7"/>
  <c r="CL17" i="7"/>
  <c r="CL19" i="7"/>
  <c r="CL23" i="7"/>
  <c r="CL25" i="7"/>
  <c r="CL27" i="7"/>
  <c r="CL31" i="7"/>
  <c r="CL33" i="7"/>
  <c r="CL35" i="7"/>
  <c r="D63" i="3"/>
  <c r="D61" i="3"/>
  <c r="D56" i="3"/>
  <c r="D53" i="3"/>
  <c r="D48" i="3"/>
  <c r="D41" i="3"/>
  <c r="D37" i="3"/>
  <c r="D35" i="3"/>
  <c r="B22" i="3"/>
  <c r="B9" i="3"/>
  <c r="B25" i="3"/>
  <c r="B21" i="3"/>
  <c r="B19" i="3"/>
  <c r="D50" i="3"/>
  <c r="D64" i="3"/>
  <c r="B11" i="3"/>
  <c r="B24" i="3"/>
  <c r="D43" i="3"/>
  <c r="D55" i="3"/>
  <c r="BZ37" i="7"/>
  <c r="BZ35" i="7"/>
  <c r="BZ33" i="7"/>
  <c r="BZ31" i="7"/>
  <c r="BZ27" i="7"/>
  <c r="BZ25" i="7"/>
  <c r="BZ23" i="7"/>
  <c r="BZ19" i="7"/>
  <c r="BZ17" i="7"/>
  <c r="BZ15" i="7"/>
  <c r="BZ13" i="7"/>
  <c r="BZ11" i="7"/>
  <c r="BZ9" i="7"/>
  <c r="CL8" i="7"/>
  <c r="CL10" i="7"/>
  <c r="CL12" i="7"/>
  <c r="CL14" i="7"/>
  <c r="CL16" i="7"/>
  <c r="CL18" i="7"/>
  <c r="CL22" i="7"/>
  <c r="CL24" i="7"/>
  <c r="CL26" i="7"/>
  <c r="CL28" i="7"/>
  <c r="CL32" i="7"/>
  <c r="CL34" i="7"/>
  <c r="CL36" i="7"/>
  <c r="CL37" i="7"/>
  <c r="AZ72" i="1" l="1"/>
  <c r="B73" i="1"/>
  <c r="AZ73" i="1" s="1"/>
  <c r="H34" i="1"/>
  <c r="EM16" i="1"/>
  <c r="EU19" i="1" s="1"/>
  <c r="BL24" i="5"/>
  <c r="BN30" i="5"/>
  <c r="DJ16" i="1"/>
  <c r="CT18" i="1"/>
  <c r="GM18" i="1" s="1"/>
  <c r="AB18" i="1" s="1"/>
  <c r="W30" i="1"/>
  <c r="P30" i="1"/>
  <c r="O34" i="1"/>
  <c r="FK39" i="1"/>
  <c r="N41" i="1"/>
  <c r="N67" i="1"/>
  <c r="AI67" i="1"/>
  <c r="CY41" i="1"/>
  <c r="DO41" i="1" s="1"/>
  <c r="AP41" i="1" s="1"/>
  <c r="AK58" i="1"/>
  <c r="BS18" i="5"/>
  <c r="CC24" i="5"/>
  <c r="BJ23" i="1"/>
  <c r="K30" i="1"/>
  <c r="Y34" i="1"/>
  <c r="FJ35" i="1"/>
  <c r="DL41" i="1"/>
  <c r="AU41" i="1" s="1"/>
  <c r="U58" i="1"/>
  <c r="AM58" i="1"/>
  <c r="BY18" i="5"/>
  <c r="CC18" i="5"/>
  <c r="CD24" i="5"/>
  <c r="BI36" i="5"/>
  <c r="BX36" i="5"/>
  <c r="J10" i="1"/>
  <c r="DM10" i="1"/>
  <c r="AV10" i="1" s="1"/>
  <c r="GP17" i="1"/>
  <c r="BJ18" i="1"/>
  <c r="FM18" i="1"/>
  <c r="CT25" i="1"/>
  <c r="J30" i="1"/>
  <c r="S30" i="1"/>
  <c r="DJ34" i="1"/>
  <c r="AS34" i="1" s="1"/>
  <c r="FS39" i="1"/>
  <c r="S41" i="1"/>
  <c r="S67" i="1"/>
  <c r="BA61" i="1"/>
  <c r="BA72" i="1"/>
  <c r="R58" i="1"/>
  <c r="CD18" i="5"/>
  <c r="BU18" i="5"/>
  <c r="CE24" i="5"/>
  <c r="BJ36" i="5"/>
  <c r="BY36" i="5"/>
  <c r="S10" i="1"/>
  <c r="DL18" i="1"/>
  <c r="FE25" i="1"/>
  <c r="U30" i="1"/>
  <c r="DN34" i="1"/>
  <c r="AW34" i="1" s="1"/>
  <c r="K58" i="1"/>
  <c r="W58" i="1"/>
  <c r="AO58" i="1"/>
  <c r="BA71" i="1"/>
  <c r="BO24" i="5"/>
  <c r="ET19" i="1"/>
  <c r="AB10" i="1"/>
  <c r="V17" i="1"/>
  <c r="L18" i="1"/>
  <c r="FE18" i="1"/>
  <c r="L30" i="1"/>
  <c r="V30" i="1"/>
  <c r="DI39" i="1"/>
  <c r="GJ39" i="1"/>
  <c r="Y39" i="1" s="1"/>
  <c r="R41" i="1"/>
  <c r="J41" i="1"/>
  <c r="J78" i="1" s="1"/>
  <c r="V41" i="1"/>
  <c r="CY42" i="1"/>
  <c r="J67" i="1"/>
  <c r="V67" i="1"/>
  <c r="AV39" i="1"/>
  <c r="AN39" i="1"/>
  <c r="R35" i="1"/>
  <c r="K34" i="1"/>
  <c r="U34" i="1"/>
  <c r="DL34" i="1"/>
  <c r="M34" i="1"/>
  <c r="R34" i="1"/>
  <c r="W34" i="1"/>
  <c r="J35" i="1"/>
  <c r="R39" i="1"/>
  <c r="W39" i="1"/>
  <c r="P39" i="1"/>
  <c r="L39" i="1"/>
  <c r="N39" i="1"/>
  <c r="M41" i="1"/>
  <c r="U41" i="1"/>
  <c r="AM41" i="1"/>
  <c r="DJ41" i="1"/>
  <c r="DN41" i="1"/>
  <c r="AO41" i="1" s="1"/>
  <c r="AT26" i="1"/>
  <c r="AL26" i="1"/>
  <c r="DO12" i="1"/>
  <c r="DN12" i="1"/>
  <c r="BQ12" i="1" s="1"/>
  <c r="DJ12" i="1"/>
  <c r="AG12" i="1"/>
  <c r="AC12" i="1"/>
  <c r="X12" i="1"/>
  <c r="T12" i="1"/>
  <c r="O12" i="1"/>
  <c r="K12" i="1"/>
  <c r="DL12" i="1"/>
  <c r="AE12" i="1"/>
  <c r="R12" i="1"/>
  <c r="AA12" i="1"/>
  <c r="U12" i="1"/>
  <c r="W12" i="1"/>
  <c r="Y12" i="1"/>
  <c r="R13" i="1"/>
  <c r="R14" i="1"/>
  <c r="R15" i="1"/>
  <c r="K16" i="1"/>
  <c r="AA23" i="1"/>
  <c r="DI23" i="1"/>
  <c r="AI23" i="1" s="1"/>
  <c r="DK23" i="1"/>
  <c r="AL23" i="1" s="1"/>
  <c r="K24" i="1"/>
  <c r="AB26" i="1"/>
  <c r="DO26" i="1"/>
  <c r="P26" i="1"/>
  <c r="N31" i="1"/>
  <c r="X31" i="1"/>
  <c r="M32" i="1"/>
  <c r="R32" i="1"/>
  <c r="W32" i="1"/>
  <c r="N10" i="1"/>
  <c r="W10" i="1"/>
  <c r="AF10" i="1"/>
  <c r="BQ15" i="1"/>
  <c r="V16" i="1"/>
  <c r="W17" i="1"/>
  <c r="Y17" i="1"/>
  <c r="X17" i="1"/>
  <c r="N18" i="1"/>
  <c r="U18" i="1"/>
  <c r="Y18" i="1"/>
  <c r="AF18" i="1"/>
  <c r="DN18" i="1"/>
  <c r="V18" i="1"/>
  <c r="X18" i="1"/>
  <c r="K23" i="1"/>
  <c r="AC23" i="1"/>
  <c r="J23" i="1"/>
  <c r="J27" i="1" s="1"/>
  <c r="L23" i="1"/>
  <c r="N26" i="1"/>
  <c r="M30" i="1"/>
  <c r="R30" i="1"/>
  <c r="J31" i="1"/>
  <c r="K31" i="1"/>
  <c r="M31" i="1"/>
  <c r="O31" i="1"/>
  <c r="R31" i="1"/>
  <c r="U31" i="1"/>
  <c r="W31" i="1"/>
  <c r="Y31" i="1"/>
  <c r="K32" i="1"/>
  <c r="O32" i="1"/>
  <c r="U32" i="1"/>
  <c r="J32" i="1"/>
  <c r="L32" i="1"/>
  <c r="N32" i="1"/>
  <c r="P32" i="1"/>
  <c r="S32" i="1"/>
  <c r="V32" i="1"/>
  <c r="X32" i="1"/>
  <c r="BA74" i="1"/>
  <c r="B75" i="1"/>
  <c r="AZ75" i="1" s="1"/>
  <c r="B66" i="1"/>
  <c r="AZ66" i="1" s="1"/>
  <c r="BA63" i="1"/>
  <c r="BA64" i="1"/>
  <c r="BA65" i="1"/>
  <c r="AN35" i="1"/>
  <c r="AV35" i="1"/>
  <c r="H30" i="1"/>
  <c r="DL35" i="1"/>
  <c r="AU35" i="1" s="1"/>
  <c r="DK35" i="1"/>
  <c r="DO35" i="1"/>
  <c r="H39" i="1"/>
  <c r="A31" i="1"/>
  <c r="A32" i="1" s="1"/>
  <c r="A33" i="1" s="1"/>
  <c r="U35" i="1"/>
  <c r="H41" i="1"/>
  <c r="AD37" i="7"/>
  <c r="AD36" i="7"/>
  <c r="AD35" i="7"/>
  <c r="AD34" i="7"/>
  <c r="AD33" i="7"/>
  <c r="AD32" i="7"/>
  <c r="AD31" i="7"/>
  <c r="AD28" i="7"/>
  <c r="AD27" i="7"/>
  <c r="AD26" i="7"/>
  <c r="AD25" i="7"/>
  <c r="AD24" i="7"/>
  <c r="AD23" i="7"/>
  <c r="AD22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K8" i="7"/>
  <c r="K9" i="7"/>
  <c r="K10" i="7"/>
  <c r="K11" i="7"/>
  <c r="K12" i="7"/>
  <c r="K13" i="7"/>
  <c r="K14" i="7"/>
  <c r="K15" i="7"/>
  <c r="K16" i="7"/>
  <c r="K17" i="7"/>
  <c r="K18" i="7"/>
  <c r="K19" i="7"/>
  <c r="K22" i="7"/>
  <c r="K23" i="7"/>
  <c r="K24" i="7"/>
  <c r="K25" i="7"/>
  <c r="K26" i="7"/>
  <c r="K27" i="7"/>
  <c r="K28" i="7"/>
  <c r="K31" i="7"/>
  <c r="K32" i="7"/>
  <c r="K33" i="7"/>
  <c r="K34" i="7"/>
  <c r="K35" i="7"/>
  <c r="K36" i="7"/>
  <c r="K37" i="7"/>
  <c r="CI7" i="1"/>
  <c r="CR7" i="1" s="1"/>
  <c r="CE7" i="1"/>
  <c r="CF7" i="1" s="1"/>
  <c r="B24" i="1"/>
  <c r="B25" i="1" s="1"/>
  <c r="B16" i="1"/>
  <c r="B17" i="1" s="1"/>
  <c r="B18" i="1" s="1"/>
  <c r="B26" i="1" s="1"/>
  <c r="AM11" i="1"/>
  <c r="AU11" i="1"/>
  <c r="A13" i="1"/>
  <c r="A22" i="1" s="1"/>
  <c r="P22" i="1" s="1"/>
  <c r="H12" i="1"/>
  <c r="BV18" i="5"/>
  <c r="BX30" i="5"/>
  <c r="DN10" i="1"/>
  <c r="DL10" i="1"/>
  <c r="DJ10" i="1"/>
  <c r="AG10" i="1"/>
  <c r="AE10" i="1"/>
  <c r="AC10" i="1"/>
  <c r="AA10" i="1"/>
  <c r="X10" i="1"/>
  <c r="V10" i="1"/>
  <c r="T10" i="1"/>
  <c r="O10" i="1"/>
  <c r="M10" i="1"/>
  <c r="K10" i="1"/>
  <c r="H10" i="1"/>
  <c r="BW10" i="1" s="1"/>
  <c r="L10" i="1"/>
  <c r="P10" i="1"/>
  <c r="U10" i="1"/>
  <c r="Y10" i="1"/>
  <c r="AD10" i="1"/>
  <c r="AI10" i="1"/>
  <c r="AN10" i="1"/>
  <c r="DK10" i="1"/>
  <c r="DO10" i="1"/>
  <c r="R10" i="1"/>
  <c r="J11" i="1"/>
  <c r="N11" i="1"/>
  <c r="S11" i="1"/>
  <c r="W11" i="1"/>
  <c r="AB11" i="1"/>
  <c r="AF11" i="1"/>
  <c r="K11" i="1"/>
  <c r="M11" i="1"/>
  <c r="O11" i="1"/>
  <c r="V11" i="1"/>
  <c r="X11" i="1"/>
  <c r="BJ12" i="1"/>
  <c r="AO13" i="1"/>
  <c r="AZ13" i="1" s="1"/>
  <c r="BA13" i="1" s="1"/>
  <c r="BO13" i="1"/>
  <c r="AW13" i="1"/>
  <c r="BQ14" i="1"/>
  <c r="AO14" i="1"/>
  <c r="AZ14" i="1" s="1"/>
  <c r="BA14" i="1" s="1"/>
  <c r="BO14" i="1"/>
  <c r="AW14" i="1"/>
  <c r="AO15" i="1"/>
  <c r="AZ15" i="1" s="1"/>
  <c r="BA15" i="1" s="1"/>
  <c r="BO15" i="1"/>
  <c r="AW15" i="1"/>
  <c r="AK16" i="1"/>
  <c r="AS16" i="1"/>
  <c r="CO19" i="1"/>
  <c r="FB16" i="1"/>
  <c r="BJ18" i="5"/>
  <c r="BL18" i="5"/>
  <c r="BO18" i="5"/>
  <c r="BT18" i="5"/>
  <c r="BJ24" i="5"/>
  <c r="DO11" i="1"/>
  <c r="DM11" i="1"/>
  <c r="DK11" i="1"/>
  <c r="DI11" i="1"/>
  <c r="AG11" i="1"/>
  <c r="AE11" i="1"/>
  <c r="AC11" i="1"/>
  <c r="AA11" i="1"/>
  <c r="T11" i="1"/>
  <c r="R11" i="1"/>
  <c r="H11" i="1"/>
  <c r="BW11" i="1" s="1"/>
  <c r="L11" i="1"/>
  <c r="P11" i="1"/>
  <c r="U11" i="1"/>
  <c r="Y11" i="1"/>
  <c r="AD11" i="1"/>
  <c r="DJ11" i="1"/>
  <c r="DN11" i="1"/>
  <c r="AO17" i="1"/>
  <c r="AZ17" i="1" s="1"/>
  <c r="BA17" i="1" s="1"/>
  <c r="BO17" i="1"/>
  <c r="AW17" i="1"/>
  <c r="BQ17" i="1"/>
  <c r="AX18" i="1"/>
  <c r="AP18" i="1"/>
  <c r="J13" i="1"/>
  <c r="P13" i="1"/>
  <c r="U13" i="1"/>
  <c r="AB13" i="1"/>
  <c r="AF13" i="1"/>
  <c r="DI13" i="1"/>
  <c r="DM13" i="1"/>
  <c r="J14" i="1"/>
  <c r="N14" i="1"/>
  <c r="W14" i="1"/>
  <c r="AB14" i="1"/>
  <c r="DI14" i="1"/>
  <c r="DO14" i="1"/>
  <c r="L15" i="1"/>
  <c r="P15" i="1"/>
  <c r="W15" i="1"/>
  <c r="AB15" i="1"/>
  <c r="AF15" i="1"/>
  <c r="DK15" i="1"/>
  <c r="U16" i="1"/>
  <c r="AB16" i="1"/>
  <c r="DI16" i="1"/>
  <c r="FP16" i="1"/>
  <c r="M16" i="1" s="1"/>
  <c r="L17" i="1"/>
  <c r="P17" i="1"/>
  <c r="AB17" i="1"/>
  <c r="DK17" i="1"/>
  <c r="DO17" i="1"/>
  <c r="FP23" i="1"/>
  <c r="M23" i="1" s="1"/>
  <c r="DL23" i="1"/>
  <c r="AM23" i="1" s="1"/>
  <c r="CW23" i="1"/>
  <c r="DJ24" i="1"/>
  <c r="AB24" i="1"/>
  <c r="AA24" i="1"/>
  <c r="FH24" i="1"/>
  <c r="DL24" i="1"/>
  <c r="CW24" i="1"/>
  <c r="FQ24" i="1" s="1"/>
  <c r="N24" i="1" s="1"/>
  <c r="GQ26" i="1"/>
  <c r="AF26" i="1" s="1"/>
  <c r="CP26" i="1"/>
  <c r="GR26" i="1" s="1"/>
  <c r="AZ32" i="1"/>
  <c r="H33" i="1"/>
  <c r="L33" i="1"/>
  <c r="P33" i="1"/>
  <c r="V33" i="1"/>
  <c r="M35" i="1"/>
  <c r="W35" i="1"/>
  <c r="P35" i="1"/>
  <c r="S35" i="1"/>
  <c r="V35" i="1"/>
  <c r="X35" i="1"/>
  <c r="B39" i="1"/>
  <c r="B40" i="1" s="1"/>
  <c r="B41" i="1" s="1"/>
  <c r="B42" i="1" s="1"/>
  <c r="GQ39" i="1"/>
  <c r="DN39" i="1"/>
  <c r="GI39" i="1"/>
  <c r="X39" i="1" s="1"/>
  <c r="FJ39" i="1"/>
  <c r="FR39" i="1"/>
  <c r="O39" i="1" s="1"/>
  <c r="DL40" i="1"/>
  <c r="DJ40" i="1"/>
  <c r="H40" i="1"/>
  <c r="DK40" i="1"/>
  <c r="S40" i="1"/>
  <c r="N40" i="1"/>
  <c r="J40" i="1"/>
  <c r="DN40" i="1"/>
  <c r="CY40" i="1"/>
  <c r="DO40" i="1" s="1"/>
  <c r="AP40" i="1" s="1"/>
  <c r="GQ40" i="1"/>
  <c r="FR40" i="1"/>
  <c r="O40" i="1" s="1"/>
  <c r="DI40" i="1"/>
  <c r="FJ40" i="1"/>
  <c r="R40" i="1"/>
  <c r="U40" i="1"/>
  <c r="W40" i="1"/>
  <c r="AZ48" i="1"/>
  <c r="B50" i="1"/>
  <c r="BA50" i="1" s="1"/>
  <c r="E3" i="7"/>
  <c r="AN3" i="7" s="1"/>
  <c r="CM5" i="7"/>
  <c r="L13" i="1"/>
  <c r="N13" i="1"/>
  <c r="S13" i="1"/>
  <c r="W13" i="1"/>
  <c r="Y13" i="1"/>
  <c r="AD13" i="1"/>
  <c r="DK13" i="1"/>
  <c r="DO13" i="1"/>
  <c r="L14" i="1"/>
  <c r="P14" i="1"/>
  <c r="S14" i="1"/>
  <c r="U14" i="1"/>
  <c r="Y14" i="1"/>
  <c r="AD14" i="1"/>
  <c r="AF14" i="1"/>
  <c r="DK14" i="1"/>
  <c r="DM14" i="1"/>
  <c r="J15" i="1"/>
  <c r="N15" i="1"/>
  <c r="S15" i="1"/>
  <c r="U15" i="1"/>
  <c r="Y15" i="1"/>
  <c r="AD15" i="1"/>
  <c r="DI15" i="1"/>
  <c r="DM15" i="1"/>
  <c r="DO15" i="1"/>
  <c r="J16" i="1"/>
  <c r="L16" i="1"/>
  <c r="S16" i="1"/>
  <c r="AD16" i="1"/>
  <c r="CX16" i="1"/>
  <c r="DK16" i="1"/>
  <c r="EU16" i="1"/>
  <c r="FC16" i="1" s="1"/>
  <c r="GO16" i="1"/>
  <c r="J17" i="1"/>
  <c r="N17" i="1"/>
  <c r="S17" i="1"/>
  <c r="U17" i="1"/>
  <c r="AD17" i="1"/>
  <c r="AF17" i="1"/>
  <c r="DI17" i="1"/>
  <c r="DM17" i="1"/>
  <c r="FF18" i="1"/>
  <c r="DW19" i="1"/>
  <c r="DW21" i="1" s="1"/>
  <c r="EM19" i="1"/>
  <c r="DU20" i="1"/>
  <c r="AD22" i="1"/>
  <c r="R22" i="1"/>
  <c r="R27" i="1" s="1"/>
  <c r="BJ24" i="1"/>
  <c r="DI24" i="1"/>
  <c r="L24" i="1"/>
  <c r="BJ25" i="1"/>
  <c r="FW25" i="1"/>
  <c r="FF25" i="1"/>
  <c r="CU25" i="1"/>
  <c r="FN25" i="1"/>
  <c r="J12" i="1"/>
  <c r="L12" i="1"/>
  <c r="N12" i="1"/>
  <c r="P12" i="1"/>
  <c r="S12" i="1"/>
  <c r="AB12" i="1"/>
  <c r="AD12" i="1"/>
  <c r="AF12" i="1"/>
  <c r="DI12" i="1"/>
  <c r="DK12" i="1"/>
  <c r="DM12" i="1"/>
  <c r="K13" i="1"/>
  <c r="M13" i="1"/>
  <c r="O13" i="1"/>
  <c r="T13" i="1"/>
  <c r="V13" i="1"/>
  <c r="X13" i="1"/>
  <c r="AA13" i="1"/>
  <c r="AC13" i="1"/>
  <c r="AE13" i="1"/>
  <c r="AG13" i="1"/>
  <c r="BM13" i="1"/>
  <c r="BQ13" i="1"/>
  <c r="DJ13" i="1"/>
  <c r="DL13" i="1"/>
  <c r="K14" i="1"/>
  <c r="M14" i="1"/>
  <c r="O14" i="1"/>
  <c r="T14" i="1"/>
  <c r="V14" i="1"/>
  <c r="X14" i="1"/>
  <c r="AA14" i="1"/>
  <c r="AC14" i="1"/>
  <c r="AE14" i="1"/>
  <c r="AG14" i="1"/>
  <c r="DJ14" i="1"/>
  <c r="DL14" i="1"/>
  <c r="K15" i="1"/>
  <c r="M15" i="1"/>
  <c r="O15" i="1"/>
  <c r="T15" i="1"/>
  <c r="V15" i="1"/>
  <c r="X15" i="1"/>
  <c r="AA15" i="1"/>
  <c r="AC15" i="1"/>
  <c r="AE15" i="1"/>
  <c r="AG15" i="1"/>
  <c r="BM15" i="1"/>
  <c r="DJ15" i="1"/>
  <c r="DL15" i="1"/>
  <c r="T16" i="1"/>
  <c r="AA16" i="1"/>
  <c r="AC16" i="1"/>
  <c r="CW16" i="1"/>
  <c r="DL16" i="1"/>
  <c r="FH16" i="1"/>
  <c r="FJ16" i="1"/>
  <c r="K17" i="1"/>
  <c r="M17" i="1"/>
  <c r="O17" i="1"/>
  <c r="R17" i="1"/>
  <c r="T17" i="1"/>
  <c r="AA17" i="1"/>
  <c r="AC17" i="1"/>
  <c r="AE17" i="1"/>
  <c r="AG17" i="1"/>
  <c r="BM17" i="1"/>
  <c r="DJ17" i="1"/>
  <c r="DL17" i="1"/>
  <c r="M18" i="1"/>
  <c r="O18" i="1"/>
  <c r="T18" i="1"/>
  <c r="AA18" i="1"/>
  <c r="AC18" i="1"/>
  <c r="AE18" i="1"/>
  <c r="AG18" i="1"/>
  <c r="DI18" i="1"/>
  <c r="DK18" i="1"/>
  <c r="DM18" i="1"/>
  <c r="CP19" i="1"/>
  <c r="DV19" i="1"/>
  <c r="EC19" i="1"/>
  <c r="AG22" i="1"/>
  <c r="BJ22" i="1"/>
  <c r="CX23" i="1"/>
  <c r="FH23" i="1"/>
  <c r="GG23" i="1"/>
  <c r="GO23" i="1"/>
  <c r="AC24" i="1"/>
  <c r="GO24" i="1"/>
  <c r="AD24" i="1" s="1"/>
  <c r="CX24" i="1"/>
  <c r="FJ24" i="1" s="1"/>
  <c r="DK24" i="1"/>
  <c r="EM24" i="1"/>
  <c r="FY24" i="1"/>
  <c r="FP24" i="1"/>
  <c r="M24" i="1" s="1"/>
  <c r="DJ25" i="1"/>
  <c r="AK25" i="1" s="1"/>
  <c r="GE25" i="1"/>
  <c r="GM25" i="1"/>
  <c r="DN26" i="1"/>
  <c r="DL26" i="1"/>
  <c r="DJ26" i="1"/>
  <c r="AG26" i="1"/>
  <c r="AE26" i="1"/>
  <c r="AC26" i="1"/>
  <c r="AA26" i="1"/>
  <c r="O26" i="1"/>
  <c r="AD26" i="1"/>
  <c r="DI26" i="1"/>
  <c r="DM26" i="1"/>
  <c r="AZ30" i="1"/>
  <c r="BA30" i="1" s="1"/>
  <c r="H31" i="1"/>
  <c r="L31" i="1"/>
  <c r="P31" i="1"/>
  <c r="V31" i="1"/>
  <c r="AZ31" i="1"/>
  <c r="BA31" i="1" s="1"/>
  <c r="H32" i="1"/>
  <c r="J33" i="1"/>
  <c r="N33" i="1"/>
  <c r="S33" i="1"/>
  <c r="X33" i="1"/>
  <c r="K33" i="1"/>
  <c r="M33" i="1"/>
  <c r="O33" i="1"/>
  <c r="R33" i="1"/>
  <c r="U33" i="1"/>
  <c r="W33" i="1"/>
  <c r="Y33" i="1"/>
  <c r="AX34" i="1"/>
  <c r="K35" i="1"/>
  <c r="AM35" i="1"/>
  <c r="GJ35" i="1"/>
  <c r="Y35" i="1" s="1"/>
  <c r="FK35" i="1"/>
  <c r="L35" i="1"/>
  <c r="N35" i="1"/>
  <c r="L40" i="1"/>
  <c r="V40" i="1"/>
  <c r="DM40" i="1"/>
  <c r="FK41" i="1"/>
  <c r="FJ41" i="1"/>
  <c r="DM42" i="1"/>
  <c r="DK42" i="1"/>
  <c r="DI42" i="1"/>
  <c r="DN42" i="1"/>
  <c r="DJ42" i="1"/>
  <c r="DO42" i="1"/>
  <c r="FR42" i="1"/>
  <c r="EM42" i="1"/>
  <c r="FS42" i="1" s="1"/>
  <c r="GH42" i="1"/>
  <c r="FB42" i="1"/>
  <c r="AB23" i="1"/>
  <c r="AD23" i="1"/>
  <c r="AB25" i="1"/>
  <c r="FM25" i="1"/>
  <c r="GD25" i="1"/>
  <c r="J34" i="1"/>
  <c r="L34" i="1"/>
  <c r="N34" i="1"/>
  <c r="P34" i="1"/>
  <c r="S34" i="1"/>
  <c r="V34" i="1"/>
  <c r="X34" i="1"/>
  <c r="DI34" i="1"/>
  <c r="DK34" i="1"/>
  <c r="DM34" i="1"/>
  <c r="DJ35" i="1"/>
  <c r="DN35" i="1"/>
  <c r="FR35" i="1"/>
  <c r="O35" i="1" s="1"/>
  <c r="DL39" i="1"/>
  <c r="DJ39" i="1"/>
  <c r="S39" i="1"/>
  <c r="V39" i="1"/>
  <c r="DK39" i="1"/>
  <c r="DO39" i="1"/>
  <c r="AP39" i="1" s="1"/>
  <c r="AX40" i="1"/>
  <c r="GI40" i="1"/>
  <c r="X40" i="1" s="1"/>
  <c r="FC40" i="1"/>
  <c r="K40" i="1"/>
  <c r="M40" i="1"/>
  <c r="AV41" i="1"/>
  <c r="DW41" i="1"/>
  <c r="AW41" i="1"/>
  <c r="FR41" i="1"/>
  <c r="O41" i="1" s="1"/>
  <c r="EM41" i="1"/>
  <c r="FS41" i="1" s="1"/>
  <c r="P41" i="1" s="1"/>
  <c r="GH41" i="1"/>
  <c r="W41" i="1" s="1"/>
  <c r="FB41" i="1"/>
  <c r="FK42" i="1"/>
  <c r="FJ42" i="1"/>
  <c r="BA49" i="1"/>
  <c r="AZ61" i="1"/>
  <c r="AN67" i="1"/>
  <c r="AL67" i="1"/>
  <c r="K76" i="1"/>
  <c r="M76" i="1"/>
  <c r="R76" i="1"/>
  <c r="U76" i="1"/>
  <c r="W76" i="1"/>
  <c r="Y76" i="1"/>
  <c r="AK76" i="1"/>
  <c r="AM76" i="1"/>
  <c r="AO76" i="1"/>
  <c r="DI41" i="1"/>
  <c r="DK41" i="1"/>
  <c r="BA48" i="1"/>
  <c r="K67" i="1"/>
  <c r="M67" i="1"/>
  <c r="R67" i="1"/>
  <c r="U67" i="1"/>
  <c r="W67" i="1"/>
  <c r="Y67" i="1"/>
  <c r="AK67" i="1"/>
  <c r="AM67" i="1"/>
  <c r="AO67" i="1"/>
  <c r="BA62" i="1"/>
  <c r="AZ63" i="1"/>
  <c r="AZ64" i="1"/>
  <c r="AZ70" i="1"/>
  <c r="BA73" i="1"/>
  <c r="BA75" i="1"/>
  <c r="J76" i="1"/>
  <c r="N76" i="1"/>
  <c r="V76" i="1"/>
  <c r="AI76" i="1"/>
  <c r="AN76" i="1"/>
  <c r="CA5" i="7"/>
  <c r="CD6" i="7"/>
  <c r="CM9" i="7"/>
  <c r="CM11" i="7"/>
  <c r="CM13" i="7"/>
  <c r="CM15" i="7"/>
  <c r="CM17" i="7"/>
  <c r="CM19" i="7"/>
  <c r="CM23" i="7"/>
  <c r="CM25" i="7"/>
  <c r="CM27" i="7"/>
  <c r="CM31" i="7"/>
  <c r="CM33" i="7"/>
  <c r="CM35" i="7"/>
  <c r="CM37" i="7"/>
  <c r="CA36" i="7"/>
  <c r="CA34" i="7"/>
  <c r="CA32" i="7"/>
  <c r="CA28" i="7"/>
  <c r="CA26" i="7"/>
  <c r="CA24" i="7"/>
  <c r="CA22" i="7"/>
  <c r="CA18" i="7"/>
  <c r="CA16" i="7"/>
  <c r="CA14" i="7"/>
  <c r="CA12" i="7"/>
  <c r="CA10" i="7"/>
  <c r="CA8" i="7"/>
  <c r="CA9" i="7"/>
  <c r="CM8" i="7"/>
  <c r="CM10" i="7"/>
  <c r="CM12" i="7"/>
  <c r="CM14" i="7"/>
  <c r="CM16" i="7"/>
  <c r="CM18" i="7"/>
  <c r="CM22" i="7"/>
  <c r="CM24" i="7"/>
  <c r="CM26" i="7"/>
  <c r="CM28" i="7"/>
  <c r="CM32" i="7"/>
  <c r="CM34" i="7"/>
  <c r="CM36" i="7"/>
  <c r="CA37" i="7"/>
  <c r="CA35" i="7"/>
  <c r="CA33" i="7"/>
  <c r="CA31" i="7"/>
  <c r="CA27" i="7"/>
  <c r="CA25" i="7"/>
  <c r="CA23" i="7"/>
  <c r="CA19" i="7"/>
  <c r="CA17" i="7"/>
  <c r="CA15" i="7"/>
  <c r="CA13" i="7"/>
  <c r="CA11" i="7"/>
  <c r="BA76" i="1" l="1"/>
  <c r="AX41" i="1"/>
  <c r="AC22" i="1"/>
  <c r="S22" i="1"/>
  <c r="S27" i="1" s="1"/>
  <c r="AF22" i="1"/>
  <c r="GE18" i="1"/>
  <c r="S18" i="1" s="1"/>
  <c r="S45" i="1" s="1"/>
  <c r="T22" i="1"/>
  <c r="T27" i="1" s="1"/>
  <c r="DO22" i="1"/>
  <c r="AX22" i="1" s="1"/>
  <c r="H22" i="1"/>
  <c r="DK22" i="1"/>
  <c r="DL22" i="1"/>
  <c r="DJ18" i="1"/>
  <c r="AR39" i="1"/>
  <c r="AI39" i="1"/>
  <c r="AU18" i="1"/>
  <c r="AM18" i="1"/>
  <c r="DJ22" i="1"/>
  <c r="AZ41" i="1"/>
  <c r="BA41" i="1" s="1"/>
  <c r="BA66" i="1"/>
  <c r="U36" i="1"/>
  <c r="J36" i="1"/>
  <c r="H13" i="1"/>
  <c r="BW13" i="1" s="1"/>
  <c r="AE22" i="1"/>
  <c r="DN22" i="1"/>
  <c r="BO22" i="1" s="1"/>
  <c r="X22" i="1"/>
  <c r="X27" i="1" s="1"/>
  <c r="S36" i="1"/>
  <c r="AB19" i="1"/>
  <c r="GJ40" i="1"/>
  <c r="Y40" i="1" s="1"/>
  <c r="DM22" i="1"/>
  <c r="AA22" i="1"/>
  <c r="AA45" i="1" s="1"/>
  <c r="DW20" i="1"/>
  <c r="AO34" i="1"/>
  <c r="AZ34" i="1" s="1"/>
  <c r="BA34" i="1" s="1"/>
  <c r="AK34" i="1"/>
  <c r="DI22" i="1"/>
  <c r="FS40" i="1"/>
  <c r="P40" i="1" s="1"/>
  <c r="FK40" i="1"/>
  <c r="FN18" i="1"/>
  <c r="K18" i="1" s="1"/>
  <c r="AB22" i="1"/>
  <c r="AB27" i="1" s="1"/>
  <c r="V36" i="1"/>
  <c r="S78" i="1"/>
  <c r="AS41" i="1"/>
  <c r="AK41" i="1"/>
  <c r="P36" i="1"/>
  <c r="AU34" i="1"/>
  <c r="AU36" i="1" s="1"/>
  <c r="AM34" i="1"/>
  <c r="AM36" i="1" s="1"/>
  <c r="BQ18" i="1"/>
  <c r="AW18" i="1"/>
  <c r="AO18" i="1"/>
  <c r="AZ18" i="1" s="1"/>
  <c r="BA18" i="1" s="1"/>
  <c r="BO18" i="1"/>
  <c r="AX26" i="1"/>
  <c r="AP26" i="1"/>
  <c r="AU12" i="1"/>
  <c r="AM12" i="1"/>
  <c r="AW12" i="1"/>
  <c r="AO12" i="1"/>
  <c r="AZ12" i="1" s="1"/>
  <c r="BA12" i="1" s="1"/>
  <c r="W36" i="1"/>
  <c r="R36" i="1"/>
  <c r="M36" i="1"/>
  <c r="X36" i="1"/>
  <c r="J19" i="1"/>
  <c r="R78" i="1"/>
  <c r="BO12" i="1"/>
  <c r="AS12" i="1"/>
  <c r="AK12" i="1"/>
  <c r="AP12" i="1"/>
  <c r="AX12" i="1"/>
  <c r="BA67" i="1"/>
  <c r="N36" i="1"/>
  <c r="L36" i="1"/>
  <c r="AP35" i="1"/>
  <c r="AP36" i="1" s="1"/>
  <c r="AX35" i="1"/>
  <c r="AX36" i="1" s="1"/>
  <c r="Y36" i="1"/>
  <c r="O36" i="1"/>
  <c r="K36" i="1"/>
  <c r="AL35" i="1"/>
  <c r="AT35" i="1"/>
  <c r="L8" i="7"/>
  <c r="L9" i="7"/>
  <c r="L10" i="7"/>
  <c r="L11" i="7"/>
  <c r="L12" i="7"/>
  <c r="L13" i="7"/>
  <c r="L14" i="7"/>
  <c r="L15" i="7"/>
  <c r="L16" i="7"/>
  <c r="L17" i="7"/>
  <c r="L18" i="7"/>
  <c r="L19" i="7"/>
  <c r="L22" i="7"/>
  <c r="L23" i="7"/>
  <c r="L24" i="7"/>
  <c r="L25" i="7"/>
  <c r="L26" i="7"/>
  <c r="L27" i="7"/>
  <c r="L28" i="7"/>
  <c r="L31" i="7"/>
  <c r="L32" i="7"/>
  <c r="L33" i="7"/>
  <c r="L34" i="7"/>
  <c r="L35" i="7"/>
  <c r="L36" i="7"/>
  <c r="L37" i="7"/>
  <c r="AE37" i="7"/>
  <c r="AE36" i="7"/>
  <c r="AE35" i="7"/>
  <c r="AE34" i="7"/>
  <c r="AE33" i="7"/>
  <c r="AE32" i="7"/>
  <c r="AE31" i="7"/>
  <c r="AE28" i="7"/>
  <c r="AE27" i="7"/>
  <c r="AE26" i="7"/>
  <c r="AE25" i="7"/>
  <c r="AE24" i="7"/>
  <c r="AE23" i="7"/>
  <c r="AE22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CE6" i="7"/>
  <c r="AZ76" i="1"/>
  <c r="AL41" i="1"/>
  <c r="AT41" i="1"/>
  <c r="AZ67" i="1"/>
  <c r="GI41" i="1"/>
  <c r="X41" i="1" s="1"/>
  <c r="X43" i="1" s="1"/>
  <c r="FC41" i="1"/>
  <c r="GJ41" i="1" s="1"/>
  <c r="Y41" i="1" s="1"/>
  <c r="K43" i="1"/>
  <c r="AX43" i="1"/>
  <c r="AX39" i="1"/>
  <c r="AT39" i="1"/>
  <c r="AL39" i="1"/>
  <c r="AM39" i="1"/>
  <c r="AU39" i="1"/>
  <c r="AW35" i="1"/>
  <c r="AW36" i="1" s="1"/>
  <c r="AO35" i="1"/>
  <c r="AN34" i="1"/>
  <c r="AN36" i="1" s="1"/>
  <c r="AV34" i="1"/>
  <c r="AV36" i="1" s="1"/>
  <c r="AI34" i="1"/>
  <c r="AI36" i="1" s="1"/>
  <c r="AR34" i="1"/>
  <c r="AR36" i="1" s="1"/>
  <c r="V43" i="1"/>
  <c r="AV26" i="1"/>
  <c r="AN26" i="1"/>
  <c r="AM26" i="1"/>
  <c r="AU26" i="1"/>
  <c r="AL24" i="1"/>
  <c r="AT24" i="1"/>
  <c r="AN22" i="1"/>
  <c r="AV22" i="1"/>
  <c r="AV18" i="1"/>
  <c r="AN18" i="1"/>
  <c r="AM17" i="1"/>
  <c r="AU17" i="1"/>
  <c r="AM16" i="1"/>
  <c r="AU16" i="1"/>
  <c r="AM15" i="1"/>
  <c r="AU15" i="1"/>
  <c r="AM14" i="1"/>
  <c r="AU14" i="1"/>
  <c r="AK13" i="1"/>
  <c r="AS13" i="1"/>
  <c r="AN12" i="1"/>
  <c r="AV12" i="1"/>
  <c r="AI12" i="1"/>
  <c r="AR12" i="1"/>
  <c r="GN25" i="1"/>
  <c r="AC25" i="1" s="1"/>
  <c r="GF25" i="1"/>
  <c r="FO25" i="1"/>
  <c r="L25" i="1" s="1"/>
  <c r="DK25" i="1"/>
  <c r="FG25" i="1"/>
  <c r="CV25" i="1"/>
  <c r="FX25" i="1"/>
  <c r="AP22" i="1"/>
  <c r="AD45" i="1"/>
  <c r="AD27" i="1"/>
  <c r="AS22" i="1"/>
  <c r="AK22" i="1"/>
  <c r="AO22" i="1"/>
  <c r="AV17" i="1"/>
  <c r="AN17" i="1"/>
  <c r="DN16" i="1"/>
  <c r="GQ16" i="1"/>
  <c r="AF16" i="1" s="1"/>
  <c r="AF19" i="1" s="1"/>
  <c r="FR16" i="1"/>
  <c r="O16" i="1" s="1"/>
  <c r="O19" i="1" s="1"/>
  <c r="AV15" i="1"/>
  <c r="AN15" i="1"/>
  <c r="AV14" i="1"/>
  <c r="AN14" i="1"/>
  <c r="AT13" i="1"/>
  <c r="AL13" i="1"/>
  <c r="B51" i="1"/>
  <c r="AZ50" i="1"/>
  <c r="U43" i="1"/>
  <c r="O43" i="1"/>
  <c r="AP43" i="1"/>
  <c r="J45" i="1"/>
  <c r="J43" i="1"/>
  <c r="S43" i="1"/>
  <c r="AM40" i="1"/>
  <c r="AU40" i="1"/>
  <c r="AO39" i="1"/>
  <c r="AW39" i="1"/>
  <c r="BA32" i="1"/>
  <c r="AU24" i="1"/>
  <c r="AM24" i="1"/>
  <c r="GP23" i="1"/>
  <c r="AE23" i="1" s="1"/>
  <c r="FI23" i="1"/>
  <c r="CY23" i="1"/>
  <c r="FQ23" i="1"/>
  <c r="N23" i="1" s="1"/>
  <c r="DM23" i="1"/>
  <c r="AN23" i="1" s="1"/>
  <c r="AX17" i="1"/>
  <c r="AP17" i="1"/>
  <c r="AR16" i="1"/>
  <c r="AI16" i="1"/>
  <c r="AT15" i="1"/>
  <c r="AL15" i="1"/>
  <c r="AX14" i="1"/>
  <c r="AP14" i="1"/>
  <c r="AV13" i="1"/>
  <c r="AN13" i="1"/>
  <c r="AK11" i="1"/>
  <c r="AS11" i="1"/>
  <c r="AT11" i="1"/>
  <c r="AL11" i="1"/>
  <c r="AX11" i="1"/>
  <c r="AP11" i="1"/>
  <c r="R19" i="1"/>
  <c r="AT10" i="1"/>
  <c r="AL10" i="1"/>
  <c r="M19" i="1"/>
  <c r="T19" i="1"/>
  <c r="AC19" i="1"/>
  <c r="AM10" i="1"/>
  <c r="AU10" i="1"/>
  <c r="CB5" i="7"/>
  <c r="AI41" i="1"/>
  <c r="AR41" i="1"/>
  <c r="M43" i="1"/>
  <c r="P43" i="1"/>
  <c r="AK39" i="1"/>
  <c r="AS39" i="1"/>
  <c r="AS35" i="1"/>
  <c r="AK35" i="1"/>
  <c r="AL34" i="1"/>
  <c r="AT34" i="1"/>
  <c r="FC42" i="1"/>
  <c r="GJ42" i="1" s="1"/>
  <c r="GI42" i="1"/>
  <c r="AV40" i="1"/>
  <c r="AN40" i="1"/>
  <c r="L43" i="1"/>
  <c r="AR26" i="1"/>
  <c r="AI26" i="1"/>
  <c r="AK26" i="1"/>
  <c r="AS26" i="1"/>
  <c r="BQ26" i="1"/>
  <c r="AO26" i="1"/>
  <c r="AZ26" i="1" s="1"/>
  <c r="BA26" i="1" s="1"/>
  <c r="BO26" i="1"/>
  <c r="AW26" i="1"/>
  <c r="GQ24" i="1"/>
  <c r="AF24" i="1" s="1"/>
  <c r="DN24" i="1"/>
  <c r="FR24" i="1"/>
  <c r="O24" i="1" s="1"/>
  <c r="FR23" i="1"/>
  <c r="O23" i="1" s="1"/>
  <c r="DN23" i="1"/>
  <c r="GQ23" i="1"/>
  <c r="AF23" i="1" s="1"/>
  <c r="FJ23" i="1"/>
  <c r="AI22" i="1"/>
  <c r="AR22" i="1"/>
  <c r="AC45" i="1"/>
  <c r="AC27" i="1"/>
  <c r="DV21" i="1"/>
  <c r="ED19" i="1"/>
  <c r="AT18" i="1"/>
  <c r="AL18" i="1"/>
  <c r="AK17" i="1"/>
  <c r="AS17" i="1"/>
  <c r="GP16" i="1"/>
  <c r="AE16" i="1" s="1"/>
  <c r="AE19" i="1" s="1"/>
  <c r="FQ16" i="1"/>
  <c r="N16" i="1" s="1"/>
  <c r="N19" i="1" s="1"/>
  <c r="CY16" i="1"/>
  <c r="GH16" i="1"/>
  <c r="W16" i="1" s="1"/>
  <c r="W19" i="1" s="1"/>
  <c r="FI16" i="1"/>
  <c r="DM16" i="1"/>
  <c r="AK15" i="1"/>
  <c r="AS15" i="1"/>
  <c r="AK14" i="1"/>
  <c r="AS14" i="1"/>
  <c r="AM13" i="1"/>
  <c r="AU13" i="1"/>
  <c r="AL12" i="1"/>
  <c r="AT12" i="1"/>
  <c r="AI24" i="1"/>
  <c r="AR24" i="1"/>
  <c r="AL22" i="1"/>
  <c r="AT22" i="1"/>
  <c r="AB45" i="1"/>
  <c r="AU22" i="1"/>
  <c r="AU27" i="1" s="1"/>
  <c r="AM22" i="1"/>
  <c r="AM27" i="1" s="1"/>
  <c r="AS18" i="1"/>
  <c r="AK18" i="1"/>
  <c r="AR17" i="1"/>
  <c r="AI17" i="1"/>
  <c r="AT16" i="1"/>
  <c r="AL16" i="1"/>
  <c r="AX15" i="1"/>
  <c r="AP15" i="1"/>
  <c r="AR15" i="1"/>
  <c r="AI15" i="1"/>
  <c r="AT14" i="1"/>
  <c r="AL14" i="1"/>
  <c r="AX13" i="1"/>
  <c r="AP13" i="1"/>
  <c r="CN5" i="7"/>
  <c r="W43" i="1"/>
  <c r="R45" i="1"/>
  <c r="R43" i="1"/>
  <c r="AR40" i="1"/>
  <c r="AI40" i="1"/>
  <c r="AO40" i="1"/>
  <c r="AW40" i="1"/>
  <c r="N43" i="1"/>
  <c r="AT40" i="1"/>
  <c r="AL40" i="1"/>
  <c r="AK40" i="1"/>
  <c r="AS40" i="1"/>
  <c r="CY24" i="1"/>
  <c r="GP24" i="1"/>
  <c r="AE24" i="1" s="1"/>
  <c r="FI24" i="1"/>
  <c r="DM24" i="1"/>
  <c r="AS24" i="1"/>
  <c r="AK24" i="1"/>
  <c r="AT17" i="1"/>
  <c r="AL17" i="1"/>
  <c r="AR14" i="1"/>
  <c r="AI14" i="1"/>
  <c r="AR13" i="1"/>
  <c r="AI13" i="1"/>
  <c r="EE19" i="1"/>
  <c r="BQ11" i="1"/>
  <c r="AO11" i="1"/>
  <c r="AZ11" i="1" s="1"/>
  <c r="BA11" i="1" s="1"/>
  <c r="BO11" i="1"/>
  <c r="AW11" i="1"/>
  <c r="AR11" i="1"/>
  <c r="AI11" i="1"/>
  <c r="AV11" i="1"/>
  <c r="AN11" i="1"/>
  <c r="GI16" i="1"/>
  <c r="X16" i="1" s="1"/>
  <c r="DV20" i="1"/>
  <c r="AX10" i="1"/>
  <c r="AP10" i="1"/>
  <c r="AD19" i="1"/>
  <c r="U19" i="1"/>
  <c r="L19" i="1"/>
  <c r="K19" i="1"/>
  <c r="V19" i="1"/>
  <c r="AA19" i="1"/>
  <c r="AK10" i="1"/>
  <c r="AS10" i="1"/>
  <c r="BQ10" i="1"/>
  <c r="AO10" i="1"/>
  <c r="BO10" i="1"/>
  <c r="AW10" i="1"/>
  <c r="Y22" i="1"/>
  <c r="Y27" i="1" s="1"/>
  <c r="W22" i="1"/>
  <c r="U22" i="1"/>
  <c r="O22" i="1"/>
  <c r="M22" i="1"/>
  <c r="M27" i="1" s="1"/>
  <c r="K22" i="1"/>
  <c r="L22" i="1"/>
  <c r="V22" i="1"/>
  <c r="N22" i="1"/>
  <c r="A14" i="1"/>
  <c r="CB37" i="7"/>
  <c r="CB35" i="7"/>
  <c r="CB33" i="7"/>
  <c r="CB31" i="7"/>
  <c r="CB27" i="7"/>
  <c r="CB25" i="7"/>
  <c r="CB23" i="7"/>
  <c r="CB19" i="7"/>
  <c r="CB17" i="7"/>
  <c r="CB15" i="7"/>
  <c r="CB13" i="7"/>
  <c r="CB11" i="7"/>
  <c r="CB9" i="7"/>
  <c r="CN8" i="7"/>
  <c r="CN10" i="7"/>
  <c r="CN12" i="7"/>
  <c r="CN14" i="7"/>
  <c r="CN16" i="7"/>
  <c r="CN18" i="7"/>
  <c r="CN22" i="7"/>
  <c r="CN24" i="7"/>
  <c r="CN26" i="7"/>
  <c r="CN28" i="7"/>
  <c r="CN32" i="7"/>
  <c r="CN34" i="7"/>
  <c r="CN36" i="7"/>
  <c r="CB36" i="7"/>
  <c r="CB34" i="7"/>
  <c r="CB32" i="7"/>
  <c r="CB28" i="7"/>
  <c r="CB26" i="7"/>
  <c r="CB24" i="7"/>
  <c r="CB22" i="7"/>
  <c r="CB18" i="7"/>
  <c r="CB16" i="7"/>
  <c r="CB14" i="7"/>
  <c r="CB12" i="7"/>
  <c r="CB10" i="7"/>
  <c r="CB8" i="7"/>
  <c r="CN9" i="7"/>
  <c r="CN11" i="7"/>
  <c r="CN13" i="7"/>
  <c r="CN15" i="7"/>
  <c r="CN17" i="7"/>
  <c r="CN19" i="7"/>
  <c r="CN23" i="7"/>
  <c r="CN25" i="7"/>
  <c r="CN27" i="7"/>
  <c r="CN31" i="7"/>
  <c r="CN33" i="7"/>
  <c r="CN35" i="7"/>
  <c r="CN37" i="7"/>
  <c r="BQ22" i="1" l="1"/>
  <c r="AR19" i="1"/>
  <c r="AA27" i="1"/>
  <c r="AW22" i="1"/>
  <c r="AS27" i="1"/>
  <c r="S19" i="1"/>
  <c r="AS19" i="1"/>
  <c r="AT27" i="1"/>
  <c r="AT36" i="1"/>
  <c r="X45" i="1"/>
  <c r="AL36" i="1"/>
  <c r="AE27" i="1"/>
  <c r="AI19" i="1"/>
  <c r="AF45" i="1"/>
  <c r="AE45" i="1"/>
  <c r="M78" i="1"/>
  <c r="AF37" i="7"/>
  <c r="AF36" i="7"/>
  <c r="AF35" i="7"/>
  <c r="AF34" i="7"/>
  <c r="AF33" i="7"/>
  <c r="AF32" i="7"/>
  <c r="AF31" i="7"/>
  <c r="AF28" i="7"/>
  <c r="AF27" i="7"/>
  <c r="AF26" i="7"/>
  <c r="AF25" i="7"/>
  <c r="AF24" i="7"/>
  <c r="AF23" i="7"/>
  <c r="AF22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M8" i="7"/>
  <c r="M9" i="7"/>
  <c r="M10" i="7"/>
  <c r="M11" i="7"/>
  <c r="M12" i="7"/>
  <c r="M13" i="7"/>
  <c r="M14" i="7"/>
  <c r="M15" i="7"/>
  <c r="M16" i="7"/>
  <c r="M17" i="7"/>
  <c r="M18" i="7"/>
  <c r="M19" i="7"/>
  <c r="M22" i="7"/>
  <c r="M23" i="7"/>
  <c r="M24" i="7"/>
  <c r="M25" i="7"/>
  <c r="M26" i="7"/>
  <c r="M27" i="7"/>
  <c r="M28" i="7"/>
  <c r="M31" i="7"/>
  <c r="M32" i="7"/>
  <c r="M33" i="7"/>
  <c r="M34" i="7"/>
  <c r="M35" i="7"/>
  <c r="M36" i="7"/>
  <c r="M37" i="7"/>
  <c r="A15" i="1"/>
  <c r="H14" i="1"/>
  <c r="V27" i="1"/>
  <c r="V78" i="1"/>
  <c r="K27" i="1"/>
  <c r="K45" i="1"/>
  <c r="O27" i="1"/>
  <c r="O45" i="1"/>
  <c r="W27" i="1"/>
  <c r="W78" i="1"/>
  <c r="AO19" i="1"/>
  <c r="AZ10" i="1"/>
  <c r="AO43" i="1"/>
  <c r="AZ40" i="1"/>
  <c r="AR45" i="1"/>
  <c r="AR43" i="1"/>
  <c r="W45" i="1"/>
  <c r="AV16" i="1"/>
  <c r="AV19" i="1" s="1"/>
  <c r="AN16" i="1"/>
  <c r="AN19" i="1" s="1"/>
  <c r="AR27" i="1"/>
  <c r="BQ23" i="1"/>
  <c r="BO23" i="1"/>
  <c r="AO23" i="1"/>
  <c r="AZ23" i="1" s="1"/>
  <c r="BA23" i="1" s="1"/>
  <c r="AN43" i="1"/>
  <c r="AN78" i="1"/>
  <c r="AI35" i="1"/>
  <c r="AK36" i="1"/>
  <c r="AU45" i="1"/>
  <c r="AU43" i="1"/>
  <c r="AZ22" i="1"/>
  <c r="DO24" i="1"/>
  <c r="GR24" i="1"/>
  <c r="AG24" i="1" s="1"/>
  <c r="FK24" i="1"/>
  <c r="FS24" i="1"/>
  <c r="P24" i="1" s="1"/>
  <c r="AK45" i="1"/>
  <c r="AK43" i="1"/>
  <c r="AT45" i="1"/>
  <c r="AT43" i="1"/>
  <c r="K78" i="1"/>
  <c r="AF27" i="1"/>
  <c r="Y43" i="1"/>
  <c r="AU19" i="1"/>
  <c r="X19" i="1"/>
  <c r="AL19" i="1"/>
  <c r="BQ16" i="1"/>
  <c r="AO16" i="1"/>
  <c r="AZ16" i="1" s="1"/>
  <c r="BA16" i="1" s="1"/>
  <c r="BO16" i="1"/>
  <c r="AW16" i="1"/>
  <c r="AW19" i="1" s="1"/>
  <c r="FY25" i="1"/>
  <c r="FH25" i="1"/>
  <c r="CW25" i="1"/>
  <c r="FP25" i="1"/>
  <c r="M25" i="1" s="1"/>
  <c r="GO25" i="1"/>
  <c r="AD25" i="1" s="1"/>
  <c r="DL25" i="1"/>
  <c r="GG25" i="1"/>
  <c r="CX25" i="1"/>
  <c r="AL25" i="1"/>
  <c r="AT25" i="1"/>
  <c r="V45" i="1"/>
  <c r="AZ39" i="1"/>
  <c r="BA39" i="1" s="1"/>
  <c r="AM78" i="1"/>
  <c r="CF6" i="7"/>
  <c r="N27" i="1"/>
  <c r="N78" i="1"/>
  <c r="L27" i="1"/>
  <c r="L78" i="1"/>
  <c r="U27" i="1"/>
  <c r="U78" i="1"/>
  <c r="AK19" i="1"/>
  <c r="AN24" i="1"/>
  <c r="AN27" i="1" s="1"/>
  <c r="AV24" i="1"/>
  <c r="AS43" i="1"/>
  <c r="AS45" i="1"/>
  <c r="AL45" i="1"/>
  <c r="AL43" i="1"/>
  <c r="N45" i="1"/>
  <c r="AW43" i="1"/>
  <c r="AI43" i="1"/>
  <c r="AI45" i="1"/>
  <c r="AI78" i="1"/>
  <c r="CO5" i="7"/>
  <c r="AL27" i="1"/>
  <c r="GR16" i="1"/>
  <c r="AG16" i="1" s="1"/>
  <c r="AG19" i="1" s="1"/>
  <c r="DO16" i="1"/>
  <c r="FK16" i="1"/>
  <c r="FS16" i="1"/>
  <c r="P16" i="1" s="1"/>
  <c r="P19" i="1" s="1"/>
  <c r="AI27" i="1"/>
  <c r="AW24" i="1"/>
  <c r="AW27" i="1" s="1"/>
  <c r="AO24" i="1"/>
  <c r="AZ24" i="1" s="1"/>
  <c r="BA24" i="1" s="1"/>
  <c r="BO24" i="1"/>
  <c r="BQ24" i="1"/>
  <c r="L45" i="1"/>
  <c r="AV43" i="1"/>
  <c r="AR35" i="1"/>
  <c r="AS36" i="1"/>
  <c r="AK78" i="1"/>
  <c r="M45" i="1"/>
  <c r="CC5" i="7"/>
  <c r="AM19" i="1"/>
  <c r="AT19" i="1"/>
  <c r="GR23" i="1"/>
  <c r="AG23" i="1" s="1"/>
  <c r="AG27" i="1" s="1"/>
  <c r="FK23" i="1"/>
  <c r="FS23" i="1"/>
  <c r="P23" i="1" s="1"/>
  <c r="DO23" i="1"/>
  <c r="AP23" i="1" s="1"/>
  <c r="AO78" i="1"/>
  <c r="AM45" i="1"/>
  <c r="AM43" i="1"/>
  <c r="U45" i="1"/>
  <c r="AZ51" i="1"/>
  <c r="B52" i="1"/>
  <c r="BA51" i="1"/>
  <c r="GJ16" i="1"/>
  <c r="Y16" i="1" s="1"/>
  <c r="Y19" i="1" s="1"/>
  <c r="AK27" i="1"/>
  <c r="AZ35" i="1"/>
  <c r="AO36" i="1"/>
  <c r="AL78" i="1"/>
  <c r="X78" i="1"/>
  <c r="CO8" i="7"/>
  <c r="CO10" i="7"/>
  <c r="CO12" i="7"/>
  <c r="CO14" i="7"/>
  <c r="CO16" i="7"/>
  <c r="CO18" i="7"/>
  <c r="CO22" i="7"/>
  <c r="CO24" i="7"/>
  <c r="CO26" i="7"/>
  <c r="CO28" i="7"/>
  <c r="CO32" i="7"/>
  <c r="CO34" i="7"/>
  <c r="CO36" i="7"/>
  <c r="CC37" i="7"/>
  <c r="CC35" i="7"/>
  <c r="CC33" i="7"/>
  <c r="CC31" i="7"/>
  <c r="CC27" i="7"/>
  <c r="CC25" i="7"/>
  <c r="CC23" i="7"/>
  <c r="CC19" i="7"/>
  <c r="CC17" i="7"/>
  <c r="CC15" i="7"/>
  <c r="CC13" i="7"/>
  <c r="CC11" i="7"/>
  <c r="CC9" i="7"/>
  <c r="CO9" i="7"/>
  <c r="CO11" i="7"/>
  <c r="CO13" i="7"/>
  <c r="CO15" i="7"/>
  <c r="CO17" i="7"/>
  <c r="CO19" i="7"/>
  <c r="CO23" i="7"/>
  <c r="CO25" i="7"/>
  <c r="CO27" i="7"/>
  <c r="CO31" i="7"/>
  <c r="CO33" i="7"/>
  <c r="CO35" i="7"/>
  <c r="CO37" i="7"/>
  <c r="CC36" i="7"/>
  <c r="CC34" i="7"/>
  <c r="CC32" i="7"/>
  <c r="CC28" i="7"/>
  <c r="CC26" i="7"/>
  <c r="CC24" i="7"/>
  <c r="CC22" i="7"/>
  <c r="CC18" i="7"/>
  <c r="CC16" i="7"/>
  <c r="CC14" i="7"/>
  <c r="CC12" i="7"/>
  <c r="CC10" i="7"/>
  <c r="CC8" i="7"/>
  <c r="AV45" i="1" l="1"/>
  <c r="AN45" i="1"/>
  <c r="AO27" i="1"/>
  <c r="AO45" i="1"/>
  <c r="AV27" i="1"/>
  <c r="Y78" i="1"/>
  <c r="N8" i="7"/>
  <c r="N9" i="7"/>
  <c r="N10" i="7"/>
  <c r="N11" i="7"/>
  <c r="N12" i="7"/>
  <c r="N13" i="7"/>
  <c r="N14" i="7"/>
  <c r="N15" i="7"/>
  <c r="N16" i="7"/>
  <c r="N17" i="7"/>
  <c r="N18" i="7"/>
  <c r="N19" i="7"/>
  <c r="N22" i="7"/>
  <c r="N23" i="7"/>
  <c r="N24" i="7"/>
  <c r="N25" i="7"/>
  <c r="N26" i="7"/>
  <c r="N27" i="7"/>
  <c r="N28" i="7"/>
  <c r="N31" i="7"/>
  <c r="N32" i="7"/>
  <c r="N33" i="7"/>
  <c r="N34" i="7"/>
  <c r="N35" i="7"/>
  <c r="N36" i="7"/>
  <c r="N37" i="7"/>
  <c r="AG37" i="7"/>
  <c r="AG36" i="7"/>
  <c r="AG35" i="7"/>
  <c r="AG34" i="7"/>
  <c r="AG33" i="7"/>
  <c r="AG32" i="7"/>
  <c r="AG31" i="7"/>
  <c r="AG28" i="7"/>
  <c r="AG27" i="7"/>
  <c r="AG26" i="7"/>
  <c r="AG25" i="7"/>
  <c r="AG24" i="7"/>
  <c r="AG23" i="7"/>
  <c r="AG22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P45" i="1"/>
  <c r="P27" i="1"/>
  <c r="AP16" i="1"/>
  <c r="AP19" i="1" s="1"/>
  <c r="AX16" i="1"/>
  <c r="AX19" i="1" s="1"/>
  <c r="AW45" i="1"/>
  <c r="CG6" i="7"/>
  <c r="GA25" i="1"/>
  <c r="FJ25" i="1"/>
  <c r="GQ25" i="1"/>
  <c r="AF25" i="1" s="1"/>
  <c r="DN25" i="1"/>
  <c r="FR25" i="1"/>
  <c r="O25" i="1" s="1"/>
  <c r="AU25" i="1"/>
  <c r="AM25" i="1"/>
  <c r="AX24" i="1"/>
  <c r="AP24" i="1"/>
  <c r="AZ45" i="1"/>
  <c r="BA40" i="1"/>
  <c r="AZ43" i="1"/>
  <c r="BA35" i="1"/>
  <c r="BA36" i="1" s="1"/>
  <c r="AZ36" i="1"/>
  <c r="B53" i="1"/>
  <c r="AZ52" i="1"/>
  <c r="BA52" i="1"/>
  <c r="CD5" i="7"/>
  <c r="CP5" i="7"/>
  <c r="GP25" i="1"/>
  <c r="AE25" i="1" s="1"/>
  <c r="FQ25" i="1"/>
  <c r="N25" i="1" s="1"/>
  <c r="DM25" i="1"/>
  <c r="CY25" i="1"/>
  <c r="FZ25" i="1"/>
  <c r="FI25" i="1"/>
  <c r="Y45" i="1"/>
  <c r="AZ27" i="1"/>
  <c r="BA22" i="1"/>
  <c r="BA27" i="1" s="1"/>
  <c r="AZ19" i="1"/>
  <c r="BA10" i="1"/>
  <c r="BA19" i="1" s="1"/>
  <c r="A23" i="1"/>
  <c r="H15" i="1"/>
  <c r="BW15" i="1" s="1"/>
  <c r="CP8" i="7"/>
  <c r="CP10" i="7"/>
  <c r="CP12" i="7"/>
  <c r="CP14" i="7"/>
  <c r="CP16" i="7"/>
  <c r="CP18" i="7"/>
  <c r="CP22" i="7"/>
  <c r="CP24" i="7"/>
  <c r="CP26" i="7"/>
  <c r="CP28" i="7"/>
  <c r="CP32" i="7"/>
  <c r="CP34" i="7"/>
  <c r="CP36" i="7"/>
  <c r="CD37" i="7"/>
  <c r="CD35" i="7"/>
  <c r="CD33" i="7"/>
  <c r="CD31" i="7"/>
  <c r="CD27" i="7"/>
  <c r="CD25" i="7"/>
  <c r="CD23" i="7"/>
  <c r="CD19" i="7"/>
  <c r="CD17" i="7"/>
  <c r="CD15" i="7"/>
  <c r="CD13" i="7"/>
  <c r="CD11" i="7"/>
  <c r="CD9" i="7"/>
  <c r="CP9" i="7"/>
  <c r="CP11" i="7"/>
  <c r="CP13" i="7"/>
  <c r="CP15" i="7"/>
  <c r="CP17" i="7"/>
  <c r="CP19" i="7"/>
  <c r="CP23" i="7"/>
  <c r="CP25" i="7"/>
  <c r="CP27" i="7"/>
  <c r="CP31" i="7"/>
  <c r="CP33" i="7"/>
  <c r="CP35" i="7"/>
  <c r="CP37" i="7"/>
  <c r="CD36" i="7"/>
  <c r="CD34" i="7"/>
  <c r="CD32" i="7"/>
  <c r="CD28" i="7"/>
  <c r="CD26" i="7"/>
  <c r="CD24" i="7"/>
  <c r="CD22" i="7"/>
  <c r="CD18" i="7"/>
  <c r="CD16" i="7"/>
  <c r="CD14" i="7"/>
  <c r="CD12" i="7"/>
  <c r="CD10" i="7"/>
  <c r="CD8" i="7"/>
  <c r="O8" i="7" l="1"/>
  <c r="O9" i="7"/>
  <c r="O10" i="7"/>
  <c r="O11" i="7"/>
  <c r="O12" i="7"/>
  <c r="O13" i="7"/>
  <c r="O14" i="7"/>
  <c r="O15" i="7"/>
  <c r="O16" i="7"/>
  <c r="O17" i="7"/>
  <c r="O18" i="7"/>
  <c r="O19" i="7"/>
  <c r="O22" i="7"/>
  <c r="O23" i="7"/>
  <c r="O24" i="7"/>
  <c r="O25" i="7"/>
  <c r="O26" i="7"/>
  <c r="O27" i="7"/>
  <c r="O28" i="7"/>
  <c r="O31" i="7"/>
  <c r="O32" i="7"/>
  <c r="O33" i="7"/>
  <c r="O34" i="7"/>
  <c r="O35" i="7"/>
  <c r="O36" i="7"/>
  <c r="O37" i="7"/>
  <c r="AH37" i="7"/>
  <c r="AH36" i="7"/>
  <c r="AH35" i="7"/>
  <c r="AH34" i="7"/>
  <c r="AH33" i="7"/>
  <c r="AH32" i="7"/>
  <c r="AH31" i="7"/>
  <c r="AH28" i="7"/>
  <c r="AH27" i="7"/>
  <c r="AH26" i="7"/>
  <c r="AH25" i="7"/>
  <c r="AH24" i="7"/>
  <c r="AH23" i="7"/>
  <c r="AH22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24" i="1"/>
  <c r="H23" i="1"/>
  <c r="BW23" i="1" s="1"/>
  <c r="A16" i="1"/>
  <c r="GR25" i="1"/>
  <c r="AG25" i="1" s="1"/>
  <c r="FS25" i="1"/>
  <c r="P25" i="1" s="1"/>
  <c r="DO25" i="1"/>
  <c r="FK25" i="1"/>
  <c r="GB25" i="1"/>
  <c r="CE5" i="7"/>
  <c r="AX27" i="1"/>
  <c r="AX45" i="1"/>
  <c r="AW25" i="1"/>
  <c r="AO25" i="1"/>
  <c r="AZ25" i="1" s="1"/>
  <c r="BA25" i="1" s="1"/>
  <c r="BQ25" i="1"/>
  <c r="BO25" i="1"/>
  <c r="AN25" i="1"/>
  <c r="AV25" i="1"/>
  <c r="CQ5" i="7"/>
  <c r="AZ53" i="1"/>
  <c r="B54" i="1"/>
  <c r="BA53" i="1"/>
  <c r="BA45" i="1"/>
  <c r="BA43" i="1"/>
  <c r="AP27" i="1"/>
  <c r="AP45" i="1"/>
  <c r="AP78" i="1"/>
  <c r="CE37" i="7"/>
  <c r="CE35" i="7"/>
  <c r="CE33" i="7"/>
  <c r="CE31" i="7"/>
  <c r="CE27" i="7"/>
  <c r="CE25" i="7"/>
  <c r="CE23" i="7"/>
  <c r="CE19" i="7"/>
  <c r="CE17" i="7"/>
  <c r="CE15" i="7"/>
  <c r="CE13" i="7"/>
  <c r="CE11" i="7"/>
  <c r="CE9" i="7"/>
  <c r="CQ8" i="7"/>
  <c r="CQ10" i="7"/>
  <c r="CQ12" i="7"/>
  <c r="CQ14" i="7"/>
  <c r="CQ16" i="7"/>
  <c r="CQ18" i="7"/>
  <c r="CQ22" i="7"/>
  <c r="CQ24" i="7"/>
  <c r="CQ26" i="7"/>
  <c r="CQ28" i="7"/>
  <c r="CQ32" i="7"/>
  <c r="CQ34" i="7"/>
  <c r="CQ36" i="7"/>
  <c r="CE36" i="7"/>
  <c r="CE34" i="7"/>
  <c r="CE32" i="7"/>
  <c r="CE28" i="7"/>
  <c r="CE26" i="7"/>
  <c r="CE24" i="7"/>
  <c r="CE22" i="7"/>
  <c r="CE18" i="7"/>
  <c r="CE16" i="7"/>
  <c r="CE14" i="7"/>
  <c r="CE12" i="7"/>
  <c r="CE10" i="7"/>
  <c r="CE8" i="7"/>
  <c r="CQ9" i="7"/>
  <c r="CQ11" i="7"/>
  <c r="CQ13" i="7"/>
  <c r="CQ15" i="7"/>
  <c r="CQ17" i="7"/>
  <c r="CQ19" i="7"/>
  <c r="CQ23" i="7"/>
  <c r="CQ25" i="7"/>
  <c r="CQ27" i="7"/>
  <c r="CQ31" i="7"/>
  <c r="CQ33" i="7"/>
  <c r="CQ35" i="7"/>
  <c r="CQ37" i="7"/>
  <c r="AI37" i="7" l="1"/>
  <c r="AI36" i="7"/>
  <c r="AI35" i="7"/>
  <c r="AI34" i="7"/>
  <c r="AI33" i="7"/>
  <c r="AI32" i="7"/>
  <c r="AI31" i="7"/>
  <c r="AI28" i="7"/>
  <c r="AI27" i="7"/>
  <c r="AI26" i="7"/>
  <c r="AI25" i="7"/>
  <c r="AI24" i="7"/>
  <c r="AI23" i="7"/>
  <c r="AI22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P8" i="7"/>
  <c r="P9" i="7"/>
  <c r="P10" i="7"/>
  <c r="P11" i="7"/>
  <c r="P12" i="7"/>
  <c r="P13" i="7"/>
  <c r="P14" i="7"/>
  <c r="P15" i="7"/>
  <c r="P16" i="7"/>
  <c r="P17" i="7"/>
  <c r="P18" i="7"/>
  <c r="P19" i="7"/>
  <c r="P22" i="7"/>
  <c r="P23" i="7"/>
  <c r="P24" i="7"/>
  <c r="P25" i="7"/>
  <c r="P26" i="7"/>
  <c r="P27" i="7"/>
  <c r="P28" i="7"/>
  <c r="P31" i="7"/>
  <c r="P32" i="7"/>
  <c r="P33" i="7"/>
  <c r="P34" i="7"/>
  <c r="P35" i="7"/>
  <c r="P36" i="7"/>
  <c r="P37" i="7"/>
  <c r="B55" i="1"/>
  <c r="AZ54" i="1"/>
  <c r="BA54" i="1"/>
  <c r="CR5" i="7"/>
  <c r="CF5" i="7"/>
  <c r="A17" i="1"/>
  <c r="H16" i="1"/>
  <c r="A25" i="1"/>
  <c r="H25" i="1" s="1"/>
  <c r="BW25" i="1" s="1"/>
  <c r="H24" i="1"/>
  <c r="BW24" i="1" s="1"/>
  <c r="AP25" i="1"/>
  <c r="AX25" i="1"/>
  <c r="CR9" i="7"/>
  <c r="CR11" i="7"/>
  <c r="CR13" i="7"/>
  <c r="CR15" i="7"/>
  <c r="CR17" i="7"/>
  <c r="CR19" i="7"/>
  <c r="CR23" i="7"/>
  <c r="CR25" i="7"/>
  <c r="CR27" i="7"/>
  <c r="CR31" i="7"/>
  <c r="CR33" i="7"/>
  <c r="CR35" i="7"/>
  <c r="CR37" i="7"/>
  <c r="CF36" i="7"/>
  <c r="CF34" i="7"/>
  <c r="CF32" i="7"/>
  <c r="CF28" i="7"/>
  <c r="CF26" i="7"/>
  <c r="CF24" i="7"/>
  <c r="CF22" i="7"/>
  <c r="CF18" i="7"/>
  <c r="CF16" i="7"/>
  <c r="CF14" i="7"/>
  <c r="CF12" i="7"/>
  <c r="CF10" i="7"/>
  <c r="CF8" i="7"/>
  <c r="CR8" i="7"/>
  <c r="CR10" i="7"/>
  <c r="CR12" i="7"/>
  <c r="CR14" i="7"/>
  <c r="CR16" i="7"/>
  <c r="CR18" i="7"/>
  <c r="CR22" i="7"/>
  <c r="CR24" i="7"/>
  <c r="CR26" i="7"/>
  <c r="CR28" i="7"/>
  <c r="CR32" i="7"/>
  <c r="CR34" i="7"/>
  <c r="CR36" i="7"/>
  <c r="CF37" i="7"/>
  <c r="CF35" i="7"/>
  <c r="CF33" i="7"/>
  <c r="CF31" i="7"/>
  <c r="CF27" i="7"/>
  <c r="CF25" i="7"/>
  <c r="CF23" i="7"/>
  <c r="CF19" i="7"/>
  <c r="CF17" i="7"/>
  <c r="CF15" i="7"/>
  <c r="CF13" i="7"/>
  <c r="CF11" i="7"/>
  <c r="CF9" i="7"/>
  <c r="Q8" i="7" l="1"/>
  <c r="Q9" i="7"/>
  <c r="Q10" i="7"/>
  <c r="Q11" i="7"/>
  <c r="Q12" i="7"/>
  <c r="Q13" i="7"/>
  <c r="Q14" i="7"/>
  <c r="Q15" i="7"/>
  <c r="Q16" i="7"/>
  <c r="Q17" i="7"/>
  <c r="Q18" i="7"/>
  <c r="Q19" i="7"/>
  <c r="Q22" i="7"/>
  <c r="Q23" i="7"/>
  <c r="Q24" i="7"/>
  <c r="Q25" i="7"/>
  <c r="Q26" i="7"/>
  <c r="Q27" i="7"/>
  <c r="Q28" i="7"/>
  <c r="Q31" i="7"/>
  <c r="Q32" i="7"/>
  <c r="Q33" i="7"/>
  <c r="Q34" i="7"/>
  <c r="Q35" i="7"/>
  <c r="Q36" i="7"/>
  <c r="Q37" i="7"/>
  <c r="AJ37" i="7"/>
  <c r="AJ36" i="7"/>
  <c r="AJ35" i="7"/>
  <c r="AJ34" i="7"/>
  <c r="AJ33" i="7"/>
  <c r="AJ32" i="7"/>
  <c r="AJ31" i="7"/>
  <c r="AJ28" i="7"/>
  <c r="AJ27" i="7"/>
  <c r="AJ26" i="7"/>
  <c r="AJ25" i="7"/>
  <c r="AJ24" i="7"/>
  <c r="AJ23" i="7"/>
  <c r="AJ22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CG5" i="7"/>
  <c r="B56" i="1"/>
  <c r="BA55" i="1"/>
  <c r="A18" i="1"/>
  <c r="H17" i="1"/>
  <c r="CS5" i="7"/>
  <c r="CG37" i="7"/>
  <c r="CG35" i="7"/>
  <c r="CG33" i="7"/>
  <c r="CG31" i="7"/>
  <c r="CG27" i="7"/>
  <c r="CG25" i="7"/>
  <c r="CG23" i="7"/>
  <c r="CG19" i="7"/>
  <c r="CG17" i="7"/>
  <c r="CG15" i="7"/>
  <c r="CG13" i="7"/>
  <c r="CG11" i="7"/>
  <c r="CG9" i="7"/>
  <c r="CS8" i="7"/>
  <c r="CS10" i="7"/>
  <c r="CS12" i="7"/>
  <c r="CS14" i="7"/>
  <c r="CS16" i="7"/>
  <c r="CS18" i="7"/>
  <c r="CS22" i="7"/>
  <c r="CS24" i="7"/>
  <c r="CS26" i="7"/>
  <c r="CS28" i="7"/>
  <c r="CS32" i="7"/>
  <c r="CS34" i="7"/>
  <c r="CS36" i="7"/>
  <c r="CG36" i="7"/>
  <c r="CG34" i="7"/>
  <c r="CG32" i="7"/>
  <c r="CG28" i="7"/>
  <c r="CG26" i="7"/>
  <c r="CG24" i="7"/>
  <c r="CG22" i="7"/>
  <c r="CG18" i="7"/>
  <c r="CG16" i="7"/>
  <c r="CG14" i="7"/>
  <c r="CG12" i="7"/>
  <c r="CG10" i="7"/>
  <c r="CG8" i="7"/>
  <c r="CS9" i="7"/>
  <c r="CS11" i="7"/>
  <c r="CS13" i="7"/>
  <c r="CS15" i="7"/>
  <c r="CS17" i="7"/>
  <c r="CS19" i="7"/>
  <c r="CS23" i="7"/>
  <c r="CS25" i="7"/>
  <c r="CS27" i="7"/>
  <c r="CS31" i="7"/>
  <c r="CS33" i="7"/>
  <c r="CS35" i="7"/>
  <c r="CS37" i="7"/>
  <c r="AK37" i="7" l="1"/>
  <c r="AK36" i="7"/>
  <c r="AK35" i="7"/>
  <c r="AK34" i="7"/>
  <c r="AK33" i="7"/>
  <c r="AK32" i="7"/>
  <c r="AK31" i="7"/>
  <c r="AK28" i="7"/>
  <c r="AK27" i="7"/>
  <c r="AK26" i="7"/>
  <c r="AK25" i="7"/>
  <c r="AK24" i="7"/>
  <c r="AK23" i="7"/>
  <c r="AK22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R8" i="7"/>
  <c r="R9" i="7"/>
  <c r="R10" i="7"/>
  <c r="R11" i="7"/>
  <c r="R12" i="7"/>
  <c r="R13" i="7"/>
  <c r="R14" i="7"/>
  <c r="R15" i="7"/>
  <c r="R16" i="7"/>
  <c r="R17" i="7"/>
  <c r="R18" i="7"/>
  <c r="R19" i="7"/>
  <c r="R22" i="7"/>
  <c r="R23" i="7"/>
  <c r="R24" i="7"/>
  <c r="R25" i="7"/>
  <c r="R26" i="7"/>
  <c r="R27" i="7"/>
  <c r="R28" i="7"/>
  <c r="R31" i="7"/>
  <c r="R32" i="7"/>
  <c r="R33" i="7"/>
  <c r="R34" i="7"/>
  <c r="R35" i="7"/>
  <c r="R36" i="7"/>
  <c r="R37" i="7"/>
  <c r="B57" i="1"/>
  <c r="AZ56" i="1"/>
  <c r="BA56" i="1"/>
  <c r="CT5" i="7"/>
  <c r="A26" i="1"/>
  <c r="H26" i="1" s="1"/>
  <c r="BW26" i="1" s="1"/>
  <c r="H18" i="1"/>
  <c r="CT8" i="7"/>
  <c r="CT10" i="7"/>
  <c r="CT12" i="7"/>
  <c r="CT14" i="7"/>
  <c r="CT16" i="7"/>
  <c r="CT18" i="7"/>
  <c r="CT22" i="7"/>
  <c r="CT24" i="7"/>
  <c r="CT26" i="7"/>
  <c r="CT28" i="7"/>
  <c r="CT32" i="7"/>
  <c r="CT34" i="7"/>
  <c r="CT36" i="7"/>
  <c r="CT9" i="7"/>
  <c r="CT11" i="7"/>
  <c r="CT13" i="7"/>
  <c r="CT15" i="7"/>
  <c r="CT17" i="7"/>
  <c r="CT19" i="7"/>
  <c r="CT23" i="7"/>
  <c r="CT25" i="7"/>
  <c r="CT27" i="7"/>
  <c r="CT31" i="7"/>
  <c r="CT33" i="7"/>
  <c r="CT35" i="7"/>
  <c r="CT37" i="7"/>
  <c r="AL37" i="7" l="1"/>
  <c r="AL36" i="7"/>
  <c r="AL35" i="7"/>
  <c r="AL34" i="7"/>
  <c r="AL33" i="7"/>
  <c r="AL32" i="7"/>
  <c r="AL31" i="7"/>
  <c r="AL28" i="7"/>
  <c r="AL27" i="7"/>
  <c r="AL26" i="7"/>
  <c r="AL25" i="7"/>
  <c r="AL24" i="7"/>
  <c r="AL23" i="7"/>
  <c r="AL22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Z57" i="1"/>
  <c r="BA57" i="1"/>
  <c r="BA78" i="1" l="1"/>
  <c r="BA58" i="1"/>
  <c r="AZ58" i="1"/>
  <c r="AZ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Garcia, Alvaro</author>
  </authors>
  <commentList>
    <comment ref="M18" authorId="0" shapeId="0" xr:uid="{00000000-0006-0000-0000-000001000000}">
      <text>
        <r>
          <rPr>
            <sz val="9"/>
            <color indexed="81"/>
            <rFont val="Tahoma"/>
            <family val="2"/>
          </rPr>
          <t>On Dec 1, 2014 FIBRAPL issued 3.785280m new CBFIs</t>
        </r>
      </text>
    </comment>
    <comment ref="M24" authorId="0" shapeId="0" xr:uid="{00000000-0006-0000-0000-000002000000}">
      <text>
        <r>
          <rPr>
            <sz val="9"/>
            <color indexed="81"/>
            <rFont val="Tahoma"/>
            <family val="2"/>
          </rPr>
          <t>On October 8 2014 HCITY issued 109,696,093 shares in follow on</t>
        </r>
      </text>
    </comment>
    <comment ref="M36" authorId="0" shapeId="0" xr:uid="{00000000-0006-0000-0000-000003000000}">
      <text>
        <r>
          <rPr>
            <sz val="9"/>
            <color indexed="81"/>
            <rFont val="Tahoma"/>
            <family val="2"/>
          </rPr>
          <t>On 21 November 2014 FINN issued 178,685,324 shares @ 15.85 via a local rights offering</t>
        </r>
      </text>
    </comment>
    <comment ref="N42" authorId="0" shapeId="0" xr:uid="{00000000-0006-0000-0000-000004000000}">
      <text>
        <r>
          <rPr>
            <sz val="9"/>
            <color indexed="81"/>
            <rFont val="Tahoma"/>
            <family val="2"/>
          </rPr>
          <t>During 2Q15 FMTY issued 7m CBFIs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Garcia, Alvaro</author>
  </authors>
  <commentList>
    <comment ref="CR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Garcia, Alvaro:</t>
        </r>
        <r>
          <rPr>
            <sz val="9"/>
            <color indexed="81"/>
            <rFont val="Tahoma"/>
            <family val="2"/>
          </rPr>
          <t xml:space="preserve">
CBFI with economic rights</t>
        </r>
      </text>
    </comment>
  </commentList>
</comments>
</file>

<file path=xl/sharedStrings.xml><?xml version="1.0" encoding="utf-8"?>
<sst xmlns="http://schemas.openxmlformats.org/spreadsheetml/2006/main" count="1210" uniqueCount="348">
  <si>
    <t>BTG Pactual</t>
  </si>
  <si>
    <t>Market Cap</t>
  </si>
  <si>
    <t>Dividend Yield %</t>
  </si>
  <si>
    <t>Rating</t>
  </si>
  <si>
    <t>(US$mm)</t>
  </si>
  <si>
    <t>Buy</t>
  </si>
  <si>
    <t>Fibra Hotelera</t>
  </si>
  <si>
    <t>Fibra Inn</t>
  </si>
  <si>
    <t>Average</t>
  </si>
  <si>
    <t>-</t>
  </si>
  <si>
    <t>Vesta</t>
  </si>
  <si>
    <t>n.c.</t>
  </si>
  <si>
    <t>2015E</t>
  </si>
  <si>
    <t>Price</t>
  </si>
  <si>
    <t>(Local)</t>
  </si>
  <si>
    <t>~5%</t>
  </si>
  <si>
    <t xml:space="preserve"> </t>
  </si>
  <si>
    <t>Debt</t>
  </si>
  <si>
    <t>Assets</t>
  </si>
  <si>
    <t>Cash</t>
  </si>
  <si>
    <t>VAT outstanding?</t>
  </si>
  <si>
    <t>P$m</t>
  </si>
  <si>
    <t>US$m</t>
  </si>
  <si>
    <t>Total Assets (P$m)</t>
  </si>
  <si>
    <t>Fibra Danhos</t>
  </si>
  <si>
    <t>Fibra Prologis</t>
  </si>
  <si>
    <t>2016E</t>
  </si>
  <si>
    <t xml:space="preserve">Fibra Shop </t>
  </si>
  <si>
    <t>Hoteles City</t>
  </si>
  <si>
    <t>% of Revs in USD</t>
  </si>
  <si>
    <t>Fibra Monterrey</t>
  </si>
  <si>
    <t>Fibra Uno</t>
  </si>
  <si>
    <t>Cash as % of Market Cap</t>
  </si>
  <si>
    <t xml:space="preserve">Fibra MQ </t>
  </si>
  <si>
    <t xml:space="preserve">Fibra Terrafina </t>
  </si>
  <si>
    <t>Adjusted Cap Rate Spread/2</t>
  </si>
  <si>
    <t>NOI</t>
  </si>
  <si>
    <t>EBITDA</t>
  </si>
  <si>
    <t>Dividends</t>
  </si>
  <si>
    <t>EBITDA/CBFI</t>
  </si>
  <si>
    <t>2Q15</t>
  </si>
  <si>
    <t>Implied EBITDA Cap Rate %</t>
  </si>
  <si>
    <t>Enterprise Value</t>
  </si>
  <si>
    <t>Dividends/CBFI</t>
  </si>
  <si>
    <t>AFFO</t>
  </si>
  <si>
    <t>Current NAV</t>
  </si>
  <si>
    <t xml:space="preserve">NAV </t>
  </si>
  <si>
    <t>Price / NAV</t>
  </si>
  <si>
    <t>NAV/CBFI (share)</t>
  </si>
  <si>
    <t>AFFO/CBFI</t>
  </si>
  <si>
    <t>Bloomberg Formulas</t>
  </si>
  <si>
    <t>MXN</t>
  </si>
  <si>
    <t>BRL</t>
  </si>
  <si>
    <t>CLP</t>
  </si>
  <si>
    <t>Global Rates</t>
  </si>
  <si>
    <t>USGG10YR Index</t>
  </si>
  <si>
    <t>yld_ytm_mid</t>
  </si>
  <si>
    <t>MUDI 4.5 12/04/25 Corp</t>
  </si>
  <si>
    <t>BEMR8S Index</t>
  </si>
  <si>
    <t>Chile</t>
  </si>
  <si>
    <t>GTNLG10Y Corp</t>
  </si>
  <si>
    <t>Netherlands</t>
  </si>
  <si>
    <t>GTFRF10Y Corp</t>
  </si>
  <si>
    <t>France</t>
  </si>
  <si>
    <t>GTGBP10Y Corp</t>
  </si>
  <si>
    <t>UK</t>
  </si>
  <si>
    <t>GTHKD10Y Corp</t>
  </si>
  <si>
    <t>HK</t>
  </si>
  <si>
    <t>GTSGD10Y Corp</t>
  </si>
  <si>
    <t>Singapore</t>
  </si>
  <si>
    <t>GTAUD10Y Corp</t>
  </si>
  <si>
    <t>Australia</t>
  </si>
  <si>
    <t>USA</t>
  </si>
  <si>
    <t>Mexico</t>
  </si>
  <si>
    <t>Brazil</t>
  </si>
  <si>
    <t>Date ---&gt;</t>
  </si>
  <si>
    <t>Exchange Rates</t>
  </si>
  <si>
    <t>FX</t>
  </si>
  <si>
    <t>Broker</t>
  </si>
  <si>
    <t xml:space="preserve">MS </t>
  </si>
  <si>
    <t>JPM</t>
  </si>
  <si>
    <t>UBS</t>
  </si>
  <si>
    <t xml:space="preserve">Last Updated </t>
  </si>
  <si>
    <t>GS</t>
  </si>
  <si>
    <t>HSBC</t>
  </si>
  <si>
    <t>Barclays</t>
  </si>
  <si>
    <t>Missing….</t>
  </si>
  <si>
    <t>Average CBFI (Shares) Outstanding (m)</t>
  </si>
  <si>
    <t>2017E</t>
  </si>
  <si>
    <t>Current CBFI (shares) Outstanding</t>
  </si>
  <si>
    <t>?</t>
  </si>
  <si>
    <t>CS</t>
  </si>
  <si>
    <t>FIBRA</t>
  </si>
  <si>
    <t>MS</t>
  </si>
  <si>
    <t>Santander</t>
  </si>
  <si>
    <t>FFO</t>
  </si>
  <si>
    <t>Barclays (USD)</t>
  </si>
  <si>
    <t>FFO/CBFI</t>
  </si>
  <si>
    <t>Net Income + D&amp;A</t>
  </si>
  <si>
    <t>Actinver</t>
  </si>
  <si>
    <t>GICSA</t>
  </si>
  <si>
    <t>Net Debt + Minority Interest + Other Obligations/Deferred Tax Liability - Land Reserves</t>
  </si>
  <si>
    <t>C-Corps</t>
  </si>
  <si>
    <t>FIBRAs</t>
  </si>
  <si>
    <t>FFO Yield %</t>
  </si>
  <si>
    <t>Implied NOI Cap Rate %</t>
  </si>
  <si>
    <t>Current CBFI / shares Outstanding EoP</t>
  </si>
  <si>
    <t>Paid Dividends</t>
  </si>
  <si>
    <t>n.a.</t>
  </si>
  <si>
    <t>Px_Last</t>
  </si>
  <si>
    <t>FUNO11 mm equity</t>
  </si>
  <si>
    <t>fibramq mm equity</t>
  </si>
  <si>
    <t>fshop13 mm equity</t>
  </si>
  <si>
    <t>terra13 mm equity</t>
  </si>
  <si>
    <t>danhos13 mm equity</t>
  </si>
  <si>
    <t>fibrapl mm equity</t>
  </si>
  <si>
    <t>fiho12 mm equity</t>
  </si>
  <si>
    <t>finn13 mm equity</t>
  </si>
  <si>
    <t>fmty14 mm equity</t>
  </si>
  <si>
    <t>vesta* mm equity</t>
  </si>
  <si>
    <t>hcity* mm equity</t>
  </si>
  <si>
    <t>gicsab mm equity</t>
  </si>
  <si>
    <t>formula</t>
  </si>
  <si>
    <t>value</t>
  </si>
  <si>
    <t xml:space="preserve">Gross LTV (%) </t>
  </si>
  <si>
    <t xml:space="preserve">Net LTV (%) </t>
  </si>
  <si>
    <t xml:space="preserve">Cash / Assets (%) </t>
  </si>
  <si>
    <t>Latam Malls</t>
  </si>
  <si>
    <t>BR Malls</t>
  </si>
  <si>
    <t>Neutral</t>
  </si>
  <si>
    <t>Multiplan</t>
  </si>
  <si>
    <t>Iguatemi</t>
  </si>
  <si>
    <t>Aliansce</t>
  </si>
  <si>
    <t xml:space="preserve">Parque Arauco </t>
  </si>
  <si>
    <t xml:space="preserve">Brazilian Commercial Properties </t>
  </si>
  <si>
    <t>BR Properties</t>
  </si>
  <si>
    <t>No Rating</t>
  </si>
  <si>
    <t>São Carlos</t>
  </si>
  <si>
    <t>CCP</t>
  </si>
  <si>
    <t>BC Fund</t>
  </si>
  <si>
    <t>LatAm Average</t>
  </si>
  <si>
    <t>Mexican FIBRAs</t>
  </si>
  <si>
    <t>Mexican C-Corps</t>
  </si>
  <si>
    <t>Bloomberg estimates (BEST)</t>
  </si>
  <si>
    <t>CompanyName</t>
  </si>
  <si>
    <t>Ticker</t>
  </si>
  <si>
    <t>Local Price</t>
  </si>
  <si>
    <t>M-CapUSD</t>
  </si>
  <si>
    <t>Best_Currency</t>
  </si>
  <si>
    <t>BEST_FX</t>
  </si>
  <si>
    <t>Best_Ratio</t>
  </si>
  <si>
    <t>Close_FX</t>
  </si>
  <si>
    <t>Close_Ratio</t>
  </si>
  <si>
    <t>YestClose</t>
  </si>
  <si>
    <t>LastPrice</t>
  </si>
  <si>
    <t>LocalM-Cap</t>
  </si>
  <si>
    <t>LocalEV</t>
  </si>
  <si>
    <t>PFFO09</t>
  </si>
  <si>
    <t>PFFO10</t>
  </si>
  <si>
    <t>PFFO11</t>
  </si>
  <si>
    <t>PFFO12</t>
  </si>
  <si>
    <t>PFFO13</t>
  </si>
  <si>
    <t>PFFO14</t>
  </si>
  <si>
    <t>PFFO15</t>
  </si>
  <si>
    <t>EV/Eb09</t>
  </si>
  <si>
    <t>EV/Eb10</t>
  </si>
  <si>
    <t>EV/Eb11</t>
  </si>
  <si>
    <t>EV/Eb12</t>
  </si>
  <si>
    <t>EV/Eb13</t>
  </si>
  <si>
    <t>EV/Eb14</t>
  </si>
  <si>
    <t>EV/Eb15</t>
  </si>
  <si>
    <t>BEST_CRNCY_ISO</t>
  </si>
  <si>
    <t>PX_YEST_CLOSE</t>
  </si>
  <si>
    <t>CRNCY</t>
  </si>
  <si>
    <t>PX_LAST</t>
  </si>
  <si>
    <t>EQY_SH_OUT</t>
  </si>
  <si>
    <t>CUR_MKT_CAP</t>
  </si>
  <si>
    <t>CURR_ENTP_VAL</t>
  </si>
  <si>
    <t>Stock</t>
  </si>
  <si>
    <t>Mkt Cap</t>
  </si>
  <si>
    <t>EV / EBITDA</t>
  </si>
  <si>
    <t>P / FFO</t>
  </si>
  <si>
    <t>LAST_PRICE</t>
  </si>
  <si>
    <t>2009Y</t>
  </si>
  <si>
    <t>2011Y</t>
  </si>
  <si>
    <t>code</t>
  </si>
  <si>
    <t>Local</t>
  </si>
  <si>
    <t>US$ mn</t>
  </si>
  <si>
    <t>2012E</t>
  </si>
  <si>
    <t>2013E</t>
  </si>
  <si>
    <t>2014E</t>
  </si>
  <si>
    <t>Bloomberg estimates</t>
  </si>
  <si>
    <t/>
  </si>
  <si>
    <t>BEST_FFOps</t>
  </si>
  <si>
    <t>BEST_CUR_EV_TO_EBITDA</t>
  </si>
  <si>
    <t>BEST_DIV_YLD</t>
  </si>
  <si>
    <t>Mkt Cap (Local CCY)</t>
  </si>
  <si>
    <t>Div ou Mult</t>
  </si>
  <si>
    <t>BEST_FFO</t>
  </si>
  <si>
    <t>Div</t>
  </si>
  <si>
    <t>SPG US</t>
  </si>
  <si>
    <t>GGP US</t>
  </si>
  <si>
    <t>TCO US</t>
  </si>
  <si>
    <t>MAC US</t>
  </si>
  <si>
    <t>DDR US</t>
  </si>
  <si>
    <t>REG US</t>
  </si>
  <si>
    <t>KIM US</t>
  </si>
  <si>
    <t>BXP US</t>
  </si>
  <si>
    <t>SLG US</t>
  </si>
  <si>
    <t>PLD US</t>
  </si>
  <si>
    <t>FRT US</t>
  </si>
  <si>
    <t>ADZ.AU</t>
  </si>
  <si>
    <t>WIREAUPROD</t>
  </si>
  <si>
    <t>Europe</t>
  </si>
  <si>
    <t>Mult</t>
  </si>
  <si>
    <t>UL NA</t>
  </si>
  <si>
    <t>NLSI</t>
  </si>
  <si>
    <t>WIREUK</t>
  </si>
  <si>
    <t>LI FP</t>
  </si>
  <si>
    <t>HMSO LN</t>
  </si>
  <si>
    <t>Asia</t>
  </si>
  <si>
    <t>CT SP</t>
  </si>
  <si>
    <t>823 HK</t>
  </si>
  <si>
    <t>2778 HK</t>
  </si>
  <si>
    <t>SKT US</t>
  </si>
  <si>
    <t>2010Y</t>
  </si>
  <si>
    <t>2012Y</t>
  </si>
  <si>
    <t>2013Y</t>
  </si>
  <si>
    <t>2014Y</t>
  </si>
  <si>
    <t>2015Y</t>
  </si>
  <si>
    <t>2016Y</t>
  </si>
  <si>
    <t>IGTA3 BZ Equity</t>
  </si>
  <si>
    <t>ALSC3 BZ equity</t>
  </si>
  <si>
    <t>PARAUCO CI equity</t>
  </si>
  <si>
    <t>BRPR3 BZ equity</t>
  </si>
  <si>
    <t>SCAR3 BZ equity</t>
  </si>
  <si>
    <t>CCPR3 BZ equity</t>
  </si>
  <si>
    <t>BRCR11 BZ Equity</t>
  </si>
  <si>
    <t>U.S. Real Estate</t>
  </si>
  <si>
    <t>Simon Property Group Inc</t>
  </si>
  <si>
    <t>Taubman Centers Inc</t>
  </si>
  <si>
    <t>Macerich Co/The</t>
  </si>
  <si>
    <t>DDR Corp</t>
  </si>
  <si>
    <t>Regency Centers Corp</t>
  </si>
  <si>
    <t>Kimco Realty Corp</t>
  </si>
  <si>
    <t>Boston Properties Inc</t>
  </si>
  <si>
    <t>SL Green Realty Corp</t>
  </si>
  <si>
    <t>Prologis Inc</t>
  </si>
  <si>
    <t>Federal Realty Investment Trust</t>
  </si>
  <si>
    <t>European Real Estate</t>
  </si>
  <si>
    <t>Unibail-Rodamco SE</t>
  </si>
  <si>
    <t>Klepierre</t>
  </si>
  <si>
    <t>Hammerson PLC</t>
  </si>
  <si>
    <t>Asia Real Estate</t>
  </si>
  <si>
    <t>Champion REIT</t>
  </si>
  <si>
    <t>2017Y</t>
  </si>
  <si>
    <t>PFFO16</t>
  </si>
  <si>
    <t>PFFO17</t>
  </si>
  <si>
    <t>INTU LN</t>
  </si>
  <si>
    <t>WHA NA</t>
  </si>
  <si>
    <t>LAND LN</t>
  </si>
  <si>
    <t>BLND LN</t>
  </si>
  <si>
    <t>VCX AU</t>
  </si>
  <si>
    <t>WFD AU</t>
  </si>
  <si>
    <t>SCG AU</t>
  </si>
  <si>
    <t>778 HK</t>
  </si>
  <si>
    <t>Tanger Factory Outlet Centers Inc</t>
  </si>
  <si>
    <t>Wereldhave NV</t>
  </si>
  <si>
    <t>Land Securities Group PLC</t>
  </si>
  <si>
    <t>British Land Co PLC/The</t>
  </si>
  <si>
    <t>Intu Properties PLC</t>
  </si>
  <si>
    <t>CapitaLand Mall Trust</t>
  </si>
  <si>
    <t>Link REIT</t>
  </si>
  <si>
    <t>Fortune Real Estate Investment Trust</t>
  </si>
  <si>
    <t>Scentre Group</t>
  </si>
  <si>
    <t>#N/A N/A</t>
  </si>
  <si>
    <t>Westfield Corp</t>
  </si>
  <si>
    <t>Vicinity Centres</t>
  </si>
  <si>
    <t>BRML3 bz equity</t>
  </si>
  <si>
    <t>MULT3 bz Equity</t>
  </si>
  <si>
    <t xml:space="preserve">% of Debt in USD (%) </t>
  </si>
  <si>
    <t>Simon Property Group Inc (USD)</t>
  </si>
  <si>
    <t>General Growth Properties Inc (USD)</t>
  </si>
  <si>
    <t>Prologis Inc (USD)</t>
  </si>
  <si>
    <t>Macerich Co/The (USD)</t>
  </si>
  <si>
    <t>Boston Properties Inc (USD)</t>
  </si>
  <si>
    <t>Federal Realty Investment Trust (USD)</t>
  </si>
  <si>
    <t>SL Green Realty Corp (USD)</t>
  </si>
  <si>
    <t>Kimco Realty Corp (USD)</t>
  </si>
  <si>
    <t>DDR Corp (USD)</t>
  </si>
  <si>
    <t>Regency Centers Corp (USD)</t>
  </si>
  <si>
    <t>Taubman Centers Inc (USD)</t>
  </si>
  <si>
    <t>Tanger Factory Outlet Centers Inc (USD)</t>
  </si>
  <si>
    <t>Unibail-Rodamco SE (EUR)</t>
  </si>
  <si>
    <t>Klepierre (EUR)</t>
  </si>
  <si>
    <t>Wereldhave NV (EUR)</t>
  </si>
  <si>
    <t>Land Securities Group PLC (GBP)</t>
  </si>
  <si>
    <t>British Land Co PLC/The (GBP)</t>
  </si>
  <si>
    <t>Intu Properties PLC (GBP)</t>
  </si>
  <si>
    <t>Hammerson PLC (GBP)</t>
  </si>
  <si>
    <t>CapitaLand Mall Trust (SGD)</t>
  </si>
  <si>
    <t>Link REIT (HKD)</t>
  </si>
  <si>
    <t>Champion REIT (HKD)</t>
  </si>
  <si>
    <t>Fortune Real Estate Investment Trust (HKD)</t>
  </si>
  <si>
    <t>Scentre Group (AUD)</t>
  </si>
  <si>
    <t>Westfield Corp (USD)</t>
  </si>
  <si>
    <t>Vicinity Centres (AUD)</t>
  </si>
  <si>
    <t xml:space="preserve">Cap Rate Spread </t>
  </si>
  <si>
    <t xml:space="preserve">Latest Quarterly Distribution </t>
  </si>
  <si>
    <t>Current</t>
  </si>
  <si>
    <t>CLGB10Y Index</t>
  </si>
  <si>
    <t># of Rooms</t>
  </si>
  <si>
    <t># of Rooms Operating</t>
  </si>
  <si>
    <t>ADR P$</t>
  </si>
  <si>
    <t>2018E</t>
  </si>
  <si>
    <t>PFFO18</t>
  </si>
  <si>
    <t>2018Y</t>
  </si>
  <si>
    <t>GGP Inc</t>
  </si>
  <si>
    <t>na</t>
  </si>
  <si>
    <t>MXN Curncy</t>
  </si>
  <si>
    <t>BRL Curncy</t>
  </si>
  <si>
    <t>CLP Curncy</t>
  </si>
  <si>
    <t>Global</t>
  </si>
  <si>
    <t>IRSA CP</t>
  </si>
  <si>
    <t>ARS</t>
  </si>
  <si>
    <t>ARS Curncy</t>
  </si>
  <si>
    <t>Argentina</t>
  </si>
  <si>
    <t>IRCP US equity</t>
  </si>
  <si>
    <t>ARGBON 8.75 05/07/2024 Govt</t>
  </si>
  <si>
    <t>2019E</t>
  </si>
  <si>
    <t>2019Y</t>
  </si>
  <si>
    <t>PFFO19</t>
  </si>
  <si>
    <t>* Data</t>
  </si>
  <si>
    <t>Planigrupo</t>
  </si>
  <si>
    <t>plani* mm equity</t>
  </si>
  <si>
    <t>~3%</t>
  </si>
  <si>
    <t>Klepierre SA</t>
  </si>
  <si>
    <t>Restricted</t>
  </si>
  <si>
    <t>~35%</t>
  </si>
  <si>
    <t>Gross LTV (%)  @ Market</t>
  </si>
  <si>
    <t>Net LTV (%)  @ Market</t>
  </si>
  <si>
    <t>2020E</t>
  </si>
  <si>
    <t>PFFO20</t>
  </si>
  <si>
    <t>2020Y</t>
  </si>
  <si>
    <t>`</t>
  </si>
  <si>
    <t>Grupo Hotelero Santa Fe</t>
  </si>
  <si>
    <t>HOTEL* mm equity</t>
  </si>
  <si>
    <t>3Q19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</si>
</sst>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[$-F800]dddd\,\ mmmm\ dd\,\ yyyy"/>
    <numFmt numFmtId="168" formatCode="#,##0.0_);\(#,##0.0\)"/>
    <numFmt numFmtId="169" formatCode="[$-409]dd\-mmm\-yy;@"/>
    <numFmt numFmtId="170" formatCode="0.0\x"/>
    <numFmt numFmtId="171" formatCode="\£\ #,##0_);[Red]\(\£\ #,##0\)"/>
    <numFmt numFmtId="172" formatCode="\¥\ #,##0_);[Red]\(\¥\ #,##0\)"/>
    <numFmt numFmtId="173" formatCode="#,##0.0;[Red]\(#,##0.0\)"/>
    <numFmt numFmtId="174" formatCode="#\ ##0\ "/>
    <numFmt numFmtId="175" formatCode="\•\ \ @"/>
    <numFmt numFmtId="176" formatCode="0.000_)"/>
    <numFmt numFmtId="177" formatCode="0.00_);\(0.00\);0.00"/>
    <numFmt numFmtId="178" formatCode="\$#,##0\ ;\(\$#,##0\)"/>
    <numFmt numFmtId="179" formatCode="\ \ _•\–\ \ \ \ @"/>
    <numFmt numFmtId="180" formatCode="#,##0,"/>
    <numFmt numFmtId="181" formatCode="#,##0,,"/>
    <numFmt numFmtId="182" formatCode="_ [$€-2]\ * #,##0.00_ ;_ [$€-2]\ * \-#,##0.00_ ;_ [$€-2]\ * &quot;-&quot;??_ "/>
    <numFmt numFmtId="183" formatCode="\+\ #\ ??/??;[Red]\ \-\ #\ ??/??"/>
    <numFmt numFmtId="184" formatCode="0.00_);\(0.00\);0.00_)"/>
    <numFmt numFmtId="185" formatCode="0.00_)"/>
    <numFmt numFmtId="186" formatCode="0.00%;\(0.00%\)"/>
    <numFmt numFmtId="187" formatCode="#,##0.00;\(#,##0.00\)"/>
    <numFmt numFmtId="188" formatCode="#,##0.00_);\(#,##0.00\);&quot; --- &quot;"/>
    <numFmt numFmtId="189" formatCode="#,"/>
    <numFmt numFmtId="190" formatCode="0.00\%;\-0.00\%;0.00\%"/>
    <numFmt numFmtId="191" formatCode="0.00;\-0.00;0.00"/>
    <numFmt numFmtId="192" formatCode="0.00\x;\-0.00\x;0.00\x"/>
    <numFmt numFmtId="193" formatCode="##0.00000"/>
    <numFmt numFmtId="194" formatCode="General;\-General;General;"/>
    <numFmt numFmtId="195" formatCode="_(* #,##0.0000_);_(* \(#,##0.0000\);_(* &quot;-&quot;??_);_(@_)"/>
    <numFmt numFmtId="196" formatCode="_-* #,##0_-;\-* #,##0_-;_-* &quot;-&quot;??_-;_-@_-"/>
    <numFmt numFmtId="197" formatCode="0.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rgb="FF0000FF"/>
      <name val="Arial Narrow"/>
      <family val="2"/>
    </font>
    <font>
      <sz val="8"/>
      <color rgb="FF0000FF"/>
      <name val="Arial Narrow"/>
      <family val="2"/>
    </font>
    <font>
      <b/>
      <sz val="10"/>
      <color indexed="9"/>
      <name val="Arial Narrow"/>
      <family val="2"/>
    </font>
    <font>
      <i/>
      <sz val="10"/>
      <color theme="1"/>
      <name val="Arial Narrow"/>
      <family val="2"/>
    </font>
    <font>
      <sz val="10"/>
      <color rgb="FF0000FF"/>
      <name val="Arial Narrow"/>
      <family val="2"/>
    </font>
    <font>
      <sz val="9"/>
      <color indexed="81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6600"/>
      <name val="Arial Narrow"/>
      <family val="2"/>
    </font>
    <font>
      <sz val="8"/>
      <color rgb="FF00660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color indexed="53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 Narrow"/>
      <family val="2"/>
    </font>
    <font>
      <b/>
      <sz val="8"/>
      <color indexed="12"/>
      <name val="Arial"/>
      <family val="2"/>
    </font>
    <font>
      <sz val="12"/>
      <name val="Times New Roman"/>
      <family val="1"/>
    </font>
    <font>
      <sz val="6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MS Sans Serif"/>
      <family val="2"/>
    </font>
    <font>
      <sz val="11"/>
      <name val="Tms Rmn"/>
    </font>
    <font>
      <sz val="10"/>
      <color indexed="22"/>
      <name val="MS Sans Serif"/>
      <family val="2"/>
    </font>
    <font>
      <sz val="24"/>
      <name val="MS Sans Serif"/>
      <family val="2"/>
    </font>
    <font>
      <b/>
      <sz val="9"/>
      <name val="Times New Roman"/>
      <family val="1"/>
    </font>
    <font>
      <sz val="11"/>
      <name val="Book Antiqua"/>
      <family val="1"/>
    </font>
    <font>
      <sz val="1"/>
      <color indexed="8"/>
      <name val="Courier"/>
      <family val="3"/>
    </font>
    <font>
      <sz val="9"/>
      <name val="Times New Roman"/>
      <family val="1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i/>
      <sz val="8"/>
      <color indexed="12"/>
      <name val="Times New Roman"/>
      <family val="1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i/>
      <sz val="16"/>
      <name val="Helv"/>
    </font>
    <font>
      <sz val="10"/>
      <name val="Palatino"/>
      <family val="1"/>
    </font>
    <font>
      <b/>
      <sz val="1"/>
      <color indexed="8"/>
      <name val="Courier"/>
      <family val="3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MS Sans Serif"/>
      <family val="2"/>
    </font>
    <font>
      <b/>
      <sz val="12"/>
      <name val="MS Sans Serif"/>
      <family val="2"/>
    </font>
    <font>
      <b/>
      <sz val="9"/>
      <color indexed="12"/>
      <name val="Times New Roman"/>
      <family val="1"/>
    </font>
    <font>
      <sz val="11"/>
      <color rgb="FF0000FF"/>
      <name val="Arial Narrow"/>
      <family val="2"/>
    </font>
    <font>
      <b/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FF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 Narrow"/>
      <family val="2"/>
    </font>
    <font>
      <sz val="11"/>
      <color theme="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gray125">
        <fgColor indexed="22"/>
      </patternFill>
    </fill>
    <fill>
      <patternFill patternType="solid">
        <fgColor indexed="1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68" fontId="42" fillId="0" borderId="11" applyBorder="0"/>
    <xf numFmtId="1" fontId="43" fillId="0" borderId="0" applyFill="0" applyBorder="0" applyProtection="0">
      <alignment horizontal="right" wrapText="1"/>
      <protection locked="0"/>
    </xf>
    <xf numFmtId="173" fontId="44" fillId="0" borderId="0" applyFill="0" applyBorder="0" applyProtection="0">
      <alignment horizontal="right"/>
      <protection locked="0"/>
    </xf>
    <xf numFmtId="0" fontId="45" fillId="0" borderId="0" applyNumberFormat="0" applyFill="0" applyBorder="0" applyProtection="0">
      <protection locked="0"/>
    </xf>
    <xf numFmtId="173" fontId="38" fillId="0" borderId="0">
      <protection locked="0"/>
    </xf>
    <xf numFmtId="0" fontId="46" fillId="0" borderId="4" applyNumberFormat="0" applyFill="0" applyAlignment="0" applyProtection="0"/>
    <xf numFmtId="174" fontId="47" fillId="0" borderId="0" applyFill="0" applyBorder="0" applyProtection="0"/>
    <xf numFmtId="0" fontId="48" fillId="0" borderId="12" applyNumberFormat="0" applyFont="0" applyFill="0" applyAlignment="0" applyProtection="0"/>
    <xf numFmtId="0" fontId="48" fillId="0" borderId="13" applyNumberFormat="0" applyFont="0" applyFill="0" applyAlignment="0" applyProtection="0"/>
    <xf numFmtId="175" fontId="41" fillId="0" borderId="0" applyFont="0" applyFill="0" applyBorder="0" applyAlignment="0" applyProtection="0"/>
    <xf numFmtId="0" fontId="49" fillId="0" borderId="0"/>
    <xf numFmtId="14" fontId="37" fillId="10" borderId="14" applyBorder="0" applyAlignment="0">
      <alignment horizontal="center" vertical="center"/>
    </xf>
    <xf numFmtId="0" fontId="37" fillId="11" borderId="14" applyNumberFormat="0" applyBorder="0" applyAlignment="0">
      <alignment horizontal="center" vertical="center"/>
    </xf>
    <xf numFmtId="1" fontId="50" fillId="0" borderId="0">
      <protection locked="0"/>
    </xf>
    <xf numFmtId="0" fontId="51" fillId="0" borderId="0">
      <alignment horizontal="center" wrapText="1"/>
      <protection hidden="1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64" fontId="1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12" borderId="0">
      <alignment horizontal="center" vertical="center" wrapText="1"/>
    </xf>
    <xf numFmtId="164" fontId="2" fillId="13" borderId="0" applyNumberFormat="0" applyFont="0" applyBorder="0" applyAlignment="0" applyProtection="0"/>
    <xf numFmtId="177" fontId="2" fillId="0" borderId="0" applyFill="0" applyBorder="0">
      <alignment horizontal="right"/>
      <protection locked="0"/>
    </xf>
    <xf numFmtId="178" fontId="53" fillId="0" borderId="0" applyFont="0" applyFill="0" applyBorder="0" applyAlignment="0" applyProtection="0"/>
    <xf numFmtId="0" fontId="51" fillId="0" borderId="0" applyFont="0" applyFill="0" applyBorder="0" applyAlignment="0">
      <protection locked="0"/>
    </xf>
    <xf numFmtId="179" fontId="41" fillId="0" borderId="0" applyFont="0" applyFill="0" applyBorder="0" applyAlignment="0" applyProtection="0"/>
    <xf numFmtId="17" fontId="55" fillId="0" borderId="1" applyFont="0" applyFill="0" applyBorder="0" applyAlignment="0" applyProtection="0"/>
    <xf numFmtId="180" fontId="56" fillId="0" borderId="0"/>
    <xf numFmtId="181" fontId="56" fillId="0" borderId="0"/>
    <xf numFmtId="182" fontId="2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1" fillId="0" borderId="0"/>
    <xf numFmtId="183" fontId="58" fillId="0" borderId="0" applyFont="0" applyFill="0" applyBorder="0" applyAlignment="0" applyProtection="0">
      <protection locked="0"/>
    </xf>
    <xf numFmtId="13" fontId="58" fillId="0" borderId="0" applyFont="0" applyFill="0" applyBorder="0" applyAlignment="0" applyProtection="0">
      <protection locked="0"/>
    </xf>
    <xf numFmtId="0" fontId="59" fillId="14" borderId="0" applyNumberFormat="0" applyFont="0" applyBorder="0" applyAlignment="0" applyProtection="0">
      <alignment horizontal="centerContinuous"/>
    </xf>
    <xf numFmtId="0" fontId="59" fillId="15" borderId="0" applyNumberFormat="0" applyFont="0" applyBorder="0" applyAlignment="0" applyProtection="0">
      <alignment horizontal="centerContinuous"/>
    </xf>
    <xf numFmtId="0" fontId="60" fillId="16" borderId="15" applyNumberFormat="0" applyFont="0" applyBorder="0" applyAlignment="0"/>
    <xf numFmtId="0" fontId="2" fillId="14" borderId="16" applyNumberFormat="0" applyFont="0" applyBorder="0" applyAlignment="0" applyProtection="0"/>
    <xf numFmtId="10" fontId="2" fillId="14" borderId="0" applyNumberFormat="0" applyFont="0" applyBorder="0" applyAlignment="0"/>
    <xf numFmtId="165" fontId="61" fillId="0" borderId="0" applyFill="0" applyBorder="0" applyProtection="0">
      <alignment horizontal="right"/>
      <protection locked="0"/>
    </xf>
    <xf numFmtId="0" fontId="62" fillId="0" borderId="0" applyNumberFormat="0">
      <alignment horizontal="right"/>
    </xf>
    <xf numFmtId="0" fontId="63" fillId="0" borderId="0" applyNumberFormat="0">
      <alignment horizontal="right"/>
    </xf>
    <xf numFmtId="0" fontId="63" fillId="0" borderId="0" applyNumberFormat="0">
      <alignment horizontal="left"/>
    </xf>
    <xf numFmtId="0" fontId="62" fillId="0" borderId="0" applyNumberFormat="0">
      <alignment horizontal="left"/>
    </xf>
    <xf numFmtId="0" fontId="64" fillId="0" borderId="0" applyNumberFormat="0">
      <alignment horizontal="left" vertical="top"/>
    </xf>
    <xf numFmtId="0" fontId="65" fillId="0" borderId="0" applyNumberFormat="0" applyFill="0" applyBorder="0" applyAlignment="0" applyProtection="0">
      <alignment vertical="top"/>
      <protection locked="0"/>
    </xf>
    <xf numFmtId="13" fontId="43" fillId="0" borderId="17" applyNumberFormat="0" applyFont="0" applyFill="0" applyAlignment="0" applyProtection="0">
      <alignment horizontal="right" wrapText="1"/>
      <protection locked="0"/>
    </xf>
    <xf numFmtId="0" fontId="66" fillId="0" borderId="0" applyNumberFormat="0" applyFill="0" applyBorder="0" applyAlignment="0">
      <protection locked="0"/>
    </xf>
    <xf numFmtId="0" fontId="2" fillId="0" borderId="0" applyFill="0" applyBorder="0">
      <alignment horizontal="right"/>
      <protection locked="0"/>
    </xf>
    <xf numFmtId="184" fontId="2" fillId="0" borderId="0" applyFill="0" applyBorder="0">
      <alignment horizontal="right"/>
      <protection locked="0"/>
    </xf>
    <xf numFmtId="0" fontId="30" fillId="8" borderId="18">
      <alignment horizontal="left" vertical="center" wrapText="1"/>
    </xf>
    <xf numFmtId="15" fontId="2" fillId="0" borderId="0"/>
    <xf numFmtId="41" fontId="2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0" borderId="0"/>
    <xf numFmtId="185" fontId="69" fillId="0" borderId="0"/>
    <xf numFmtId="186" fontId="70" fillId="0" borderId="0"/>
    <xf numFmtId="187" fontId="70" fillId="0" borderId="0"/>
    <xf numFmtId="0" fontId="2" fillId="0" borderId="0"/>
    <xf numFmtId="0" fontId="67" fillId="0" borderId="0">
      <alignment horizontal="left" vertical="top" wrapText="1"/>
    </xf>
    <xf numFmtId="188" fontId="36" fillId="0" borderId="0" applyFont="0" applyFill="0" applyBorder="0" applyAlignment="0" applyProtection="0"/>
    <xf numFmtId="189" fontId="71" fillId="0" borderId="0">
      <protection locked="0"/>
    </xf>
    <xf numFmtId="9" fontId="2" fillId="0" borderId="0" applyFont="0" applyFill="0" applyBorder="0" applyAlignment="0" applyProtection="0"/>
    <xf numFmtId="190" fontId="2" fillId="0" borderId="0" applyFill="0" applyBorder="0">
      <alignment horizontal="right"/>
      <protection locked="0"/>
    </xf>
    <xf numFmtId="9" fontId="2" fillId="0" borderId="0" applyNumberFormat="0" applyFill="0" applyBorder="0" applyAlignment="0" applyProtection="0"/>
    <xf numFmtId="0" fontId="30" fillId="17" borderId="19" applyNumberFormat="0" applyFont="0" applyBorder="0" applyAlignment="0" applyProtection="0"/>
    <xf numFmtId="14" fontId="37" fillId="18" borderId="20" applyNumberFormat="0" applyFont="0" applyBorder="0" applyAlignment="0" applyProtection="0">
      <alignment horizontal="center" vertical="center"/>
    </xf>
    <xf numFmtId="191" fontId="51" fillId="0" borderId="0" applyFill="0" applyBorder="0">
      <alignment horizontal="right"/>
      <protection locked="0"/>
    </xf>
    <xf numFmtId="192" fontId="2" fillId="0" borderId="0">
      <alignment horizontal="right"/>
      <protection locked="0"/>
    </xf>
    <xf numFmtId="0" fontId="72" fillId="0" borderId="0" applyNumberFormat="0" applyFill="0" applyBorder="0" applyProtection="0">
      <protection locked="0"/>
    </xf>
    <xf numFmtId="0" fontId="73" fillId="0" borderId="21">
      <alignment horizontal="centerContinuous"/>
    </xf>
    <xf numFmtId="168" fontId="73" fillId="0" borderId="0"/>
    <xf numFmtId="0" fontId="73" fillId="0" borderId="21">
      <protection locked="0"/>
    </xf>
    <xf numFmtId="193" fontId="74" fillId="0" borderId="0" applyFill="0" applyBorder="0">
      <alignment horizontal="right"/>
      <protection hidden="1"/>
    </xf>
    <xf numFmtId="0" fontId="75" fillId="12" borderId="22">
      <alignment horizontal="center" vertical="center" wrapText="1"/>
      <protection hidden="1"/>
    </xf>
    <xf numFmtId="173" fontId="76" fillId="19" borderId="0" applyNumberFormat="0" applyFont="0" applyBorder="0" applyAlignment="0" applyProtection="0">
      <protection locked="0"/>
    </xf>
    <xf numFmtId="194" fontId="51" fillId="0" borderId="0">
      <protection locked="0"/>
    </xf>
    <xf numFmtId="0" fontId="30" fillId="0" borderId="0" applyFill="0" applyBorder="0" applyProtection="0">
      <alignment horizontal="left"/>
    </xf>
    <xf numFmtId="0" fontId="47" fillId="0" borderId="0" applyFill="0" applyBorder="0" applyProtection="0">
      <alignment horizontal="left" vertical="top"/>
    </xf>
    <xf numFmtId="0" fontId="51" fillId="0" borderId="0" applyBorder="0"/>
    <xf numFmtId="0" fontId="51" fillId="0" borderId="0"/>
    <xf numFmtId="0" fontId="58" fillId="20" borderId="0" applyNumberFormat="0" applyFont="0" applyBorder="0" applyAlignment="0" applyProtection="0"/>
  </cellStyleXfs>
  <cellXfs count="406">
    <xf numFmtId="0" fontId="0" fillId="0" borderId="0" xfId="0"/>
    <xf numFmtId="16" fontId="4" fillId="2" borderId="0" xfId="2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0" xfId="0" applyFont="1" applyFill="1" applyBorder="1"/>
    <xf numFmtId="0" fontId="3" fillId="0" borderId="0" xfId="0" applyFont="1" applyAlignment="1">
      <alignment horizontal="center"/>
    </xf>
    <xf numFmtId="0" fontId="3" fillId="0" borderId="2" xfId="0" applyFont="1" applyBorder="1"/>
    <xf numFmtId="3" fontId="7" fillId="0" borderId="3" xfId="0" applyNumberFormat="1" applyFont="1" applyBorder="1" applyAlignment="1">
      <alignment horizontal="left" indent="1"/>
    </xf>
    <xf numFmtId="2" fontId="7" fillId="0" borderId="3" xfId="0" applyNumberFormat="1" applyFont="1" applyBorder="1" applyAlignment="1">
      <alignment horizontal="left" indent="1"/>
    </xf>
    <xf numFmtId="3" fontId="8" fillId="0" borderId="3" xfId="0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0" xfId="0" applyFont="1" applyFill="1" applyBorder="1"/>
    <xf numFmtId="0" fontId="6" fillId="3" borderId="0" xfId="0" applyFont="1" applyFill="1" applyBorder="1" applyAlignment="1">
      <alignment horizontal="left" indent="1"/>
    </xf>
    <xf numFmtId="2" fontId="6" fillId="3" borderId="0" xfId="0" applyNumberFormat="1" applyFont="1" applyFill="1" applyBorder="1" applyAlignment="1">
      <alignment horizontal="left" indent="1"/>
    </xf>
    <xf numFmtId="165" fontId="3" fillId="3" borderId="0" xfId="0" applyNumberFormat="1" applyFont="1" applyFill="1" applyBorder="1"/>
    <xf numFmtId="0" fontId="5" fillId="0" borderId="0" xfId="0" applyFont="1" applyBorder="1"/>
    <xf numFmtId="0" fontId="3" fillId="0" borderId="0" xfId="0" applyFont="1" applyBorder="1"/>
    <xf numFmtId="3" fontId="3" fillId="4" borderId="0" xfId="0" applyNumberFormat="1" applyFont="1" applyFill="1" applyBorder="1" applyAlignment="1">
      <alignment horizontal="left" indent="2"/>
    </xf>
    <xf numFmtId="2" fontId="3" fillId="4" borderId="0" xfId="0" applyNumberFormat="1" applyFont="1" applyFill="1" applyBorder="1" applyAlignment="1">
      <alignment horizontal="left" indent="2"/>
    </xf>
    <xf numFmtId="3" fontId="3" fillId="4" borderId="0" xfId="0" applyNumberFormat="1" applyFont="1" applyFill="1" applyBorder="1" applyAlignment="1">
      <alignment horizontal="center"/>
    </xf>
    <xf numFmtId="165" fontId="3" fillId="4" borderId="0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5" fillId="0" borderId="0" xfId="0" applyNumberFormat="1" applyFont="1" applyBorder="1"/>
    <xf numFmtId="165" fontId="9" fillId="4" borderId="0" xfId="1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left" indent="2"/>
    </xf>
    <xf numFmtId="2" fontId="3" fillId="0" borderId="0" xfId="0" applyNumberFormat="1" applyFont="1" applyBorder="1" applyAlignment="1">
      <alignment horizontal="left" indent="2"/>
    </xf>
    <xf numFmtId="3" fontId="3" fillId="0" borderId="0" xfId="0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6" fontId="9" fillId="4" borderId="0" xfId="3" applyNumberFormat="1" applyFont="1" applyFill="1" applyBorder="1" applyAlignment="1">
      <alignment horizontal="center"/>
    </xf>
    <xf numFmtId="166" fontId="9" fillId="0" borderId="0" xfId="3" applyNumberFormat="1" applyFont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2" fontId="3" fillId="0" borderId="0" xfId="0" applyNumberFormat="1" applyFont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9" fillId="4" borderId="0" xfId="1" applyNumberFormat="1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centerContinuous"/>
    </xf>
    <xf numFmtId="16" fontId="4" fillId="2" borderId="4" xfId="2" applyNumberFormat="1" applyFont="1" applyFill="1" applyBorder="1" applyAlignment="1" applyProtection="1">
      <alignment horizontal="center"/>
    </xf>
    <xf numFmtId="15" fontId="4" fillId="2" borderId="4" xfId="2" applyNumberFormat="1" applyFont="1" applyFill="1" applyBorder="1" applyAlignment="1" applyProtection="1">
      <alignment horizontal="center"/>
    </xf>
    <xf numFmtId="16" fontId="4" fillId="2" borderId="4" xfId="2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inden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9" fillId="4" borderId="0" xfId="3" applyNumberFormat="1" applyFont="1" applyFill="1" applyBorder="1" applyAlignment="1">
      <alignment horizontal="center"/>
    </xf>
    <xf numFmtId="0" fontId="4" fillId="2" borderId="4" xfId="2" applyFont="1" applyFill="1" applyBorder="1" applyAlignment="1" applyProtection="1">
      <alignment horizontal="centerContinuous" vertical="center"/>
    </xf>
    <xf numFmtId="164" fontId="9" fillId="0" borderId="0" xfId="3" applyNumberFormat="1" applyFont="1" applyBorder="1" applyAlignment="1">
      <alignment horizontal="center"/>
    </xf>
    <xf numFmtId="164" fontId="5" fillId="0" borderId="0" xfId="0" applyNumberFormat="1" applyFont="1"/>
    <xf numFmtId="164" fontId="3" fillId="4" borderId="0" xfId="3" applyFont="1" applyFill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13" fillId="0" borderId="0" xfId="0" applyNumberFormat="1" applyFont="1"/>
    <xf numFmtId="14" fontId="10" fillId="0" borderId="0" xfId="0" applyNumberFormat="1" applyFont="1"/>
    <xf numFmtId="9" fontId="3" fillId="0" borderId="0" xfId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5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Continuous" vertical="center" wrapText="1"/>
    </xf>
    <xf numFmtId="0" fontId="15" fillId="2" borderId="4" xfId="2" applyFont="1" applyFill="1" applyBorder="1" applyAlignment="1" applyProtection="1">
      <alignment horizontal="centerContinuous" vertical="center"/>
    </xf>
    <xf numFmtId="0" fontId="15" fillId="5" borderId="1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7" fontId="10" fillId="0" borderId="0" xfId="0" applyNumberFormat="1" applyFont="1"/>
    <xf numFmtId="37" fontId="17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  <xf numFmtId="39" fontId="17" fillId="0" borderId="0" xfId="0" applyNumberFormat="1" applyFont="1" applyAlignment="1">
      <alignment horizontal="center"/>
    </xf>
    <xf numFmtId="37" fontId="10" fillId="0" borderId="0" xfId="0" quotePrefix="1" applyNumberFormat="1" applyFont="1"/>
    <xf numFmtId="0" fontId="19" fillId="0" borderId="0" xfId="0" applyFont="1"/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/>
    <xf numFmtId="37" fontId="20" fillId="0" borderId="0" xfId="0" applyNumberFormat="1" applyFont="1"/>
    <xf numFmtId="37" fontId="2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7" fontId="17" fillId="0" borderId="0" xfId="0" quotePrefix="1" applyNumberFormat="1" applyFont="1" applyAlignment="1">
      <alignment horizontal="center"/>
    </xf>
    <xf numFmtId="166" fontId="14" fillId="0" borderId="0" xfId="3" applyNumberFormat="1" applyFont="1"/>
    <xf numFmtId="164" fontId="14" fillId="0" borderId="0" xfId="3" applyNumberFormat="1" applyFont="1"/>
    <xf numFmtId="0" fontId="4" fillId="2" borderId="0" xfId="2" applyFont="1" applyFill="1" applyBorder="1" applyAlignment="1" applyProtection="1">
      <alignment horizontal="centerContinuous" vertical="center"/>
    </xf>
    <xf numFmtId="9" fontId="17" fillId="0" borderId="0" xfId="1" applyFont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5" fontId="4" fillId="0" borderId="0" xfId="2" applyNumberFormat="1" applyFont="1" applyFill="1" applyBorder="1" applyAlignment="1" applyProtection="1">
      <alignment horizontal="center"/>
    </xf>
    <xf numFmtId="15" fontId="4" fillId="0" borderId="4" xfId="2" applyNumberFormat="1" applyFont="1" applyFill="1" applyBorder="1" applyAlignment="1" applyProtection="1">
      <alignment horizontal="center"/>
    </xf>
    <xf numFmtId="16" fontId="4" fillId="0" borderId="0" xfId="2" applyNumberFormat="1" applyFont="1" applyFill="1" applyBorder="1" applyAlignment="1" applyProtection="1">
      <alignment horizontal="left"/>
    </xf>
    <xf numFmtId="16" fontId="4" fillId="0" borderId="4" xfId="2" applyNumberFormat="1" applyFont="1" applyFill="1" applyBorder="1" applyAlignment="1" applyProtection="1">
      <alignment horizontal="left"/>
    </xf>
    <xf numFmtId="166" fontId="14" fillId="4" borderId="0" xfId="3" applyNumberFormat="1" applyFont="1" applyFill="1" applyBorder="1" applyAlignment="1">
      <alignment horizontal="center"/>
    </xf>
    <xf numFmtId="166" fontId="14" fillId="0" borderId="0" xfId="3" applyNumberFormat="1" applyFont="1" applyBorder="1" applyAlignment="1">
      <alignment horizontal="center"/>
    </xf>
    <xf numFmtId="166" fontId="9" fillId="4" borderId="0" xfId="3" applyNumberFormat="1" applyFont="1" applyFill="1" applyBorder="1" applyAlignment="1">
      <alignment horizontal="right"/>
    </xf>
    <xf numFmtId="166" fontId="9" fillId="0" borderId="0" xfId="3" applyNumberFormat="1" applyFont="1" applyFill="1" applyBorder="1" applyAlignment="1">
      <alignment horizontal="right"/>
    </xf>
    <xf numFmtId="37" fontId="21" fillId="0" borderId="0" xfId="0" applyNumberFormat="1" applyFont="1" applyAlignment="1">
      <alignment horizontal="center"/>
    </xf>
    <xf numFmtId="2" fontId="7" fillId="0" borderId="3" xfId="1" applyNumberFormat="1" applyFont="1" applyBorder="1" applyAlignment="1">
      <alignment horizontal="right"/>
    </xf>
    <xf numFmtId="166" fontId="5" fillId="0" borderId="0" xfId="0" applyNumberFormat="1" applyFont="1"/>
    <xf numFmtId="2" fontId="22" fillId="0" borderId="0" xfId="0" applyNumberFormat="1" applyFont="1" applyAlignment="1">
      <alignment horizontal="center"/>
    </xf>
    <xf numFmtId="10" fontId="22" fillId="0" borderId="0" xfId="1" applyNumberFormat="1" applyFont="1" applyAlignment="1">
      <alignment horizontal="center"/>
    </xf>
    <xf numFmtId="0" fontId="17" fillId="0" borderId="0" xfId="0" applyFont="1"/>
    <xf numFmtId="0" fontId="3" fillId="3" borderId="0" xfId="0" applyFont="1" applyFill="1"/>
    <xf numFmtId="0" fontId="6" fillId="3" borderId="0" xfId="0" applyFont="1" applyFill="1"/>
    <xf numFmtId="2" fontId="6" fillId="3" borderId="0" xfId="0" applyNumberFormat="1" applyFont="1" applyFill="1"/>
    <xf numFmtId="3" fontId="3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left"/>
    </xf>
    <xf numFmtId="2" fontId="7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3" fontId="6" fillId="0" borderId="0" xfId="0" applyNumberFormat="1" applyFont="1"/>
    <xf numFmtId="2" fontId="6" fillId="0" borderId="0" xfId="0" applyNumberFormat="1" applyFont="1"/>
    <xf numFmtId="0" fontId="3" fillId="3" borderId="2" xfId="0" applyFont="1" applyFill="1" applyBorder="1"/>
    <xf numFmtId="3" fontId="7" fillId="3" borderId="3" xfId="0" applyNumberFormat="1" applyFont="1" applyFill="1" applyBorder="1" applyAlignment="1">
      <alignment horizontal="left" indent="1"/>
    </xf>
    <xf numFmtId="2" fontId="7" fillId="3" borderId="3" xfId="0" applyNumberFormat="1" applyFont="1" applyFill="1" applyBorder="1" applyAlignment="1">
      <alignment horizontal="left" indent="1"/>
    </xf>
    <xf numFmtId="3" fontId="7" fillId="3" borderId="3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left" indent="1"/>
    </xf>
    <xf numFmtId="2" fontId="7" fillId="3" borderId="0" xfId="0" applyNumberFormat="1" applyFont="1" applyFill="1" applyBorder="1" applyAlignment="1">
      <alignment horizontal="left" indent="1"/>
    </xf>
    <xf numFmtId="3" fontId="7" fillId="3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left" indent="1"/>
    </xf>
    <xf numFmtId="2" fontId="3" fillId="0" borderId="0" xfId="0" applyNumberFormat="1" applyFont="1" applyAlignment="1">
      <alignment horizontal="left" indent="1"/>
    </xf>
    <xf numFmtId="165" fontId="3" fillId="0" borderId="0" xfId="1" applyNumberFormat="1" applyFont="1" applyAlignment="1">
      <alignment horizontal="center"/>
    </xf>
    <xf numFmtId="165" fontId="3" fillId="3" borderId="0" xfId="1" applyNumberFormat="1" applyFont="1" applyFill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2" fillId="0" borderId="0" xfId="4" applyBorder="1" applyAlignment="1">
      <alignment horizontal="right"/>
    </xf>
    <xf numFmtId="0" fontId="23" fillId="0" borderId="0" xfId="4" applyFont="1"/>
    <xf numFmtId="0" fontId="24" fillId="0" borderId="0" xfId="4" applyFont="1"/>
    <xf numFmtId="0" fontId="24" fillId="0" borderId="0" xfId="4" applyFont="1" applyAlignment="1">
      <alignment horizontal="right"/>
    </xf>
    <xf numFmtId="0" fontId="2" fillId="0" borderId="0" xfId="4"/>
    <xf numFmtId="0" fontId="25" fillId="0" borderId="0" xfId="4" applyFont="1"/>
    <xf numFmtId="0" fontId="2" fillId="0" borderId="0" xfId="4" applyFont="1"/>
    <xf numFmtId="0" fontId="26" fillId="0" borderId="0" xfId="4" applyFont="1"/>
    <xf numFmtId="39" fontId="26" fillId="0" borderId="0" xfId="4" applyNumberFormat="1" applyFont="1" applyBorder="1" applyAlignment="1">
      <alignment horizontal="right"/>
    </xf>
    <xf numFmtId="0" fontId="2" fillId="0" borderId="0" xfId="4" applyAlignment="1">
      <alignment horizontal="right"/>
    </xf>
    <xf numFmtId="0" fontId="26" fillId="0" borderId="0" xfId="4" applyFont="1" applyBorder="1" applyAlignment="1">
      <alignment horizontal="right"/>
    </xf>
    <xf numFmtId="0" fontId="24" fillId="0" borderId="0" xfId="4" applyFont="1" applyAlignment="1">
      <alignment horizontal="left"/>
    </xf>
    <xf numFmtId="0" fontId="26" fillId="0" borderId="0" xfId="4" applyFont="1" applyAlignment="1">
      <alignment horizontal="right"/>
    </xf>
    <xf numFmtId="0" fontId="27" fillId="0" borderId="0" xfId="4" applyFont="1" applyAlignment="1">
      <alignment horizontal="right"/>
    </xf>
    <xf numFmtId="169" fontId="28" fillId="0" borderId="0" xfId="4" applyNumberFormat="1" applyFont="1" applyAlignment="1">
      <alignment horizontal="left"/>
    </xf>
    <xf numFmtId="169" fontId="29" fillId="0" borderId="0" xfId="4" applyNumberFormat="1" applyFont="1" applyAlignment="1">
      <alignment horizontal="left"/>
    </xf>
    <xf numFmtId="0" fontId="30" fillId="0" borderId="0" xfId="4" applyFont="1" applyAlignment="1">
      <alignment horizontal="right"/>
    </xf>
    <xf numFmtId="39" fontId="24" fillId="0" borderId="0" xfId="4" applyNumberFormat="1" applyFont="1" applyBorder="1" applyAlignment="1">
      <alignment horizontal="right"/>
    </xf>
    <xf numFmtId="0" fontId="26" fillId="0" borderId="0" xfId="4" applyFont="1" applyBorder="1"/>
    <xf numFmtId="0" fontId="26" fillId="0" borderId="0" xfId="4" applyNumberFormat="1" applyFont="1" applyBorder="1" applyAlignment="1">
      <alignment horizontal="right"/>
    </xf>
    <xf numFmtId="0" fontId="31" fillId="0" borderId="0" xfId="4" applyNumberFormat="1" applyFont="1" applyBorder="1" applyAlignment="1">
      <alignment horizontal="right"/>
    </xf>
    <xf numFmtId="0" fontId="30" fillId="0" borderId="0" xfId="4" applyFont="1" applyBorder="1" applyAlignment="1">
      <alignment horizontal="right"/>
    </xf>
    <xf numFmtId="0" fontId="32" fillId="6" borderId="5" xfId="4" applyFont="1" applyFill="1" applyBorder="1" applyAlignment="1">
      <alignment horizontal="right"/>
    </xf>
    <xf numFmtId="0" fontId="32" fillId="6" borderId="5" xfId="4" applyFont="1" applyFill="1" applyBorder="1" applyAlignment="1">
      <alignment horizontal="right" wrapText="1"/>
    </xf>
    <xf numFmtId="0" fontId="32" fillId="6" borderId="6" xfId="4" applyFont="1" applyFill="1" applyBorder="1" applyAlignment="1">
      <alignment horizontal="right" wrapText="1"/>
    </xf>
    <xf numFmtId="0" fontId="32" fillId="6" borderId="6" xfId="4" applyFont="1" applyFill="1" applyBorder="1" applyAlignment="1">
      <alignment horizontal="centerContinuous"/>
    </xf>
    <xf numFmtId="0" fontId="32" fillId="6" borderId="0" xfId="4" applyFont="1" applyFill="1" applyBorder="1" applyAlignment="1">
      <alignment horizontal="centerContinuous"/>
    </xf>
    <xf numFmtId="0" fontId="27" fillId="0" borderId="0" xfId="4" applyFont="1" applyBorder="1" applyAlignment="1">
      <alignment horizontal="center"/>
    </xf>
    <xf numFmtId="0" fontId="27" fillId="0" borderId="5" xfId="4" applyFont="1" applyBorder="1" applyAlignment="1">
      <alignment horizontal="right"/>
    </xf>
    <xf numFmtId="0" fontId="32" fillId="6" borderId="4" xfId="4" applyFont="1" applyFill="1" applyBorder="1" applyAlignment="1">
      <alignment horizontal="center"/>
    </xf>
    <xf numFmtId="0" fontId="32" fillId="6" borderId="4" xfId="4" applyFont="1" applyFill="1" applyBorder="1" applyAlignment="1">
      <alignment horizontal="right"/>
    </xf>
    <xf numFmtId="0" fontId="32" fillId="6" borderId="7" xfId="4" applyFont="1" applyFill="1" applyBorder="1" applyAlignment="1">
      <alignment horizontal="right"/>
    </xf>
    <xf numFmtId="0" fontId="32" fillId="6" borderId="0" xfId="4" applyFont="1" applyFill="1" applyBorder="1" applyAlignment="1">
      <alignment horizontal="right"/>
    </xf>
    <xf numFmtId="0" fontId="27" fillId="0" borderId="0" xfId="4" applyFont="1" applyBorder="1" applyAlignment="1">
      <alignment horizontal="right"/>
    </xf>
    <xf numFmtId="0" fontId="27" fillId="0" borderId="4" xfId="4" applyFont="1" applyBorder="1" applyAlignment="1">
      <alignment horizontal="left"/>
    </xf>
    <xf numFmtId="0" fontId="30" fillId="0" borderId="0" xfId="4" quotePrefix="1" applyFont="1" applyBorder="1" applyAlignment="1">
      <alignment horizontal="right"/>
    </xf>
    <xf numFmtId="0" fontId="2" fillId="0" borderId="0" xfId="4" applyFont="1" applyBorder="1" applyAlignment="1">
      <alignment horizontal="right"/>
    </xf>
    <xf numFmtId="0" fontId="33" fillId="7" borderId="8" xfId="4" applyFont="1" applyFill="1" applyBorder="1"/>
    <xf numFmtId="0" fontId="34" fillId="7" borderId="8" xfId="4" applyFont="1" applyFill="1" applyBorder="1" applyAlignment="1">
      <alignment horizontal="right"/>
    </xf>
    <xf numFmtId="39" fontId="34" fillId="7" borderId="8" xfId="4" applyNumberFormat="1" applyFont="1" applyFill="1" applyBorder="1" applyAlignment="1">
      <alignment horizontal="right"/>
    </xf>
    <xf numFmtId="37" fontId="34" fillId="7" borderId="8" xfId="4" applyNumberFormat="1" applyFont="1" applyFill="1" applyBorder="1" applyAlignment="1">
      <alignment horizontal="right"/>
    </xf>
    <xf numFmtId="170" fontId="34" fillId="7" borderId="8" xfId="5" applyNumberFormat="1" applyFont="1" applyFill="1" applyBorder="1" applyAlignment="1">
      <alignment horizontal="right"/>
    </xf>
    <xf numFmtId="170" fontId="34" fillId="7" borderId="9" xfId="5" applyNumberFormat="1" applyFont="1" applyFill="1" applyBorder="1" applyAlignment="1">
      <alignment horizontal="right"/>
    </xf>
    <xf numFmtId="170" fontId="34" fillId="7" borderId="0" xfId="5" applyNumberFormat="1" applyFont="1" applyFill="1" applyBorder="1" applyAlignment="1">
      <alignment horizontal="right"/>
    </xf>
    <xf numFmtId="170" fontId="34" fillId="7" borderId="10" xfId="5" applyNumberFormat="1" applyFont="1" applyFill="1" applyBorder="1" applyAlignment="1">
      <alignment horizontal="right"/>
    </xf>
    <xf numFmtId="170" fontId="26" fillId="0" borderId="0" xfId="5" applyNumberFormat="1" applyFont="1" applyBorder="1" applyAlignment="1">
      <alignment horizontal="right"/>
    </xf>
    <xf numFmtId="0" fontId="27" fillId="0" borderId="0" xfId="4" applyFont="1" applyBorder="1"/>
    <xf numFmtId="37" fontId="24" fillId="0" borderId="0" xfId="4" applyNumberFormat="1" applyFont="1" applyBorder="1" applyAlignment="1">
      <alignment horizontal="right"/>
    </xf>
    <xf numFmtId="37" fontId="2" fillId="0" borderId="0" xfId="4" applyNumberFormat="1" applyAlignment="1">
      <alignment horizontal="right"/>
    </xf>
    <xf numFmtId="0" fontId="34" fillId="3" borderId="0" xfId="4" applyFont="1" applyFill="1" applyBorder="1"/>
    <xf numFmtId="0" fontId="34" fillId="3" borderId="0" xfId="4" applyFont="1" applyFill="1" applyBorder="1" applyAlignment="1">
      <alignment horizontal="right"/>
    </xf>
    <xf numFmtId="39" fontId="34" fillId="3" borderId="0" xfId="4" applyNumberFormat="1" applyFont="1" applyFill="1" applyBorder="1" applyAlignment="1">
      <alignment horizontal="right"/>
    </xf>
    <xf numFmtId="37" fontId="34" fillId="3" borderId="0" xfId="4" applyNumberFormat="1" applyFont="1" applyFill="1" applyBorder="1" applyAlignment="1">
      <alignment horizontal="right"/>
    </xf>
    <xf numFmtId="170" fontId="34" fillId="3" borderId="0" xfId="5" applyNumberFormat="1" applyFont="1" applyFill="1" applyBorder="1" applyAlignment="1">
      <alignment horizontal="right"/>
    </xf>
    <xf numFmtId="170" fontId="34" fillId="3" borderId="10" xfId="5" applyNumberFormat="1" applyFont="1" applyFill="1" applyBorder="1" applyAlignment="1">
      <alignment horizontal="right"/>
    </xf>
    <xf numFmtId="165" fontId="34" fillId="3" borderId="10" xfId="6" applyNumberFormat="1" applyFont="1" applyFill="1" applyBorder="1" applyAlignment="1">
      <alignment horizontal="right"/>
    </xf>
    <xf numFmtId="165" fontId="34" fillId="3" borderId="0" xfId="6" applyNumberFormat="1" applyFont="1" applyFill="1" applyBorder="1" applyAlignment="1">
      <alignment horizontal="right"/>
    </xf>
    <xf numFmtId="0" fontId="2" fillId="8" borderId="0" xfId="4" applyFont="1" applyFill="1"/>
    <xf numFmtId="37" fontId="26" fillId="0" borderId="0" xfId="4" applyNumberFormat="1" applyFont="1" applyBorder="1" applyAlignment="1">
      <alignment horizontal="right"/>
    </xf>
    <xf numFmtId="39" fontId="35" fillId="0" borderId="0" xfId="4" applyNumberFormat="1" applyFont="1" applyBorder="1" applyAlignment="1">
      <alignment horizontal="right"/>
    </xf>
    <xf numFmtId="37" fontId="35" fillId="0" borderId="0" xfId="4" applyNumberFormat="1" applyFont="1" applyBorder="1" applyAlignment="1">
      <alignment horizontal="right"/>
    </xf>
    <xf numFmtId="39" fontId="2" fillId="0" borderId="0" xfId="4" applyNumberFormat="1" applyAlignment="1">
      <alignment horizontal="right"/>
    </xf>
    <xf numFmtId="165" fontId="0" fillId="0" borderId="0" xfId="6" applyNumberFormat="1" applyFont="1" applyAlignment="1">
      <alignment horizontal="right"/>
    </xf>
    <xf numFmtId="0" fontId="34" fillId="9" borderId="0" xfId="4" applyFont="1" applyFill="1" applyBorder="1"/>
    <xf numFmtId="0" fontId="34" fillId="9" borderId="0" xfId="4" applyFont="1" applyFill="1" applyBorder="1" applyAlignment="1">
      <alignment horizontal="right"/>
    </xf>
    <xf numFmtId="39" fontId="34" fillId="9" borderId="0" xfId="4" applyNumberFormat="1" applyFont="1" applyFill="1" applyBorder="1" applyAlignment="1">
      <alignment horizontal="right"/>
    </xf>
    <xf numFmtId="37" fontId="34" fillId="9" borderId="0" xfId="4" applyNumberFormat="1" applyFont="1" applyFill="1" applyBorder="1" applyAlignment="1">
      <alignment horizontal="right"/>
    </xf>
    <xf numFmtId="170" fontId="34" fillId="9" borderId="0" xfId="5" applyNumberFormat="1" applyFont="1" applyFill="1" applyBorder="1" applyAlignment="1">
      <alignment horizontal="right"/>
    </xf>
    <xf numFmtId="170" fontId="34" fillId="9" borderId="10" xfId="5" applyNumberFormat="1" applyFont="1" applyFill="1" applyBorder="1" applyAlignment="1">
      <alignment horizontal="right"/>
    </xf>
    <xf numFmtId="165" fontId="34" fillId="9" borderId="10" xfId="6" applyNumberFormat="1" applyFont="1" applyFill="1" applyBorder="1" applyAlignment="1">
      <alignment horizontal="right"/>
    </xf>
    <xf numFmtId="165" fontId="34" fillId="9" borderId="0" xfId="6" applyNumberFormat="1" applyFont="1" applyFill="1" applyBorder="1" applyAlignment="1">
      <alignment horizontal="right"/>
    </xf>
    <xf numFmtId="170" fontId="26" fillId="3" borderId="0" xfId="5" applyNumberFormat="1" applyFont="1" applyFill="1" applyBorder="1" applyAlignment="1">
      <alignment horizontal="right"/>
    </xf>
    <xf numFmtId="0" fontId="26" fillId="3" borderId="0" xfId="4" applyFont="1" applyFill="1" applyBorder="1"/>
    <xf numFmtId="0" fontId="2" fillId="3" borderId="0" xfId="4" applyFill="1"/>
    <xf numFmtId="0" fontId="2" fillId="3" borderId="0" xfId="4" applyFont="1" applyFill="1"/>
    <xf numFmtId="37" fontId="26" fillId="3" borderId="0" xfId="4" applyNumberFormat="1" applyFont="1" applyFill="1" applyBorder="1" applyAlignment="1">
      <alignment horizontal="right"/>
    </xf>
    <xf numFmtId="39" fontId="26" fillId="3" borderId="0" xfId="4" applyNumberFormat="1" applyFont="1" applyFill="1" applyBorder="1" applyAlignment="1">
      <alignment horizontal="right"/>
    </xf>
    <xf numFmtId="39" fontId="35" fillId="3" borderId="0" xfId="4" applyNumberFormat="1" applyFont="1" applyFill="1" applyBorder="1" applyAlignment="1">
      <alignment horizontal="right"/>
    </xf>
    <xf numFmtId="37" fontId="35" fillId="3" borderId="0" xfId="4" applyNumberFormat="1" applyFont="1" applyFill="1" applyBorder="1" applyAlignment="1">
      <alignment horizontal="right"/>
    </xf>
    <xf numFmtId="0" fontId="2" fillId="3" borderId="0" xfId="4" applyFill="1" applyAlignment="1">
      <alignment horizontal="right"/>
    </xf>
    <xf numFmtId="39" fontId="2" fillId="3" borderId="0" xfId="4" applyNumberFormat="1" applyFill="1" applyAlignment="1">
      <alignment horizontal="right"/>
    </xf>
    <xf numFmtId="37" fontId="2" fillId="3" borderId="0" xfId="4" applyNumberFormat="1" applyFill="1" applyAlignment="1">
      <alignment horizontal="right"/>
    </xf>
    <xf numFmtId="165" fontId="2" fillId="3" borderId="0" xfId="6" applyNumberFormat="1" applyFont="1" applyFill="1" applyAlignment="1">
      <alignment horizontal="right"/>
    </xf>
    <xf numFmtId="39" fontId="34" fillId="3" borderId="0" xfId="5" applyNumberFormat="1" applyFont="1" applyFill="1" applyBorder="1" applyAlignment="1">
      <alignment horizontal="right"/>
    </xf>
    <xf numFmtId="37" fontId="34" fillId="3" borderId="0" xfId="5" applyNumberFormat="1" applyFont="1" applyFill="1" applyBorder="1" applyAlignment="1">
      <alignment horizontal="right"/>
    </xf>
    <xf numFmtId="39" fontId="35" fillId="3" borderId="0" xfId="5" applyNumberFormat="1" applyFont="1" applyFill="1" applyBorder="1" applyAlignment="1">
      <alignment horizontal="right"/>
    </xf>
    <xf numFmtId="37" fontId="35" fillId="3" borderId="0" xfId="5" applyNumberFormat="1" applyFont="1" applyFill="1" applyBorder="1" applyAlignment="1">
      <alignment horizontal="right"/>
    </xf>
    <xf numFmtId="39" fontId="34" fillId="9" borderId="0" xfId="5" applyNumberFormat="1" applyFont="1" applyFill="1" applyBorder="1" applyAlignment="1">
      <alignment horizontal="right"/>
    </xf>
    <xf numFmtId="37" fontId="34" fillId="9" borderId="0" xfId="5" applyNumberFormat="1" applyFont="1" applyFill="1" applyBorder="1" applyAlignment="1">
      <alignment horizontal="right"/>
    </xf>
    <xf numFmtId="39" fontId="35" fillId="0" borderId="0" xfId="5" applyNumberFormat="1" applyFont="1" applyBorder="1" applyAlignment="1">
      <alignment horizontal="right"/>
    </xf>
    <xf numFmtId="37" fontId="35" fillId="0" borderId="0" xfId="5" applyNumberFormat="1" applyFont="1" applyBorder="1" applyAlignment="1">
      <alignment horizontal="right"/>
    </xf>
    <xf numFmtId="170" fontId="34" fillId="0" borderId="0" xfId="5" applyNumberFormat="1" applyFont="1" applyBorder="1" applyAlignment="1">
      <alignment horizontal="right"/>
    </xf>
    <xf numFmtId="0" fontId="36" fillId="0" borderId="0" xfId="4" applyFont="1"/>
    <xf numFmtId="39" fontId="35" fillId="0" borderId="8" xfId="5" applyNumberFormat="1" applyFont="1" applyBorder="1" applyAlignment="1">
      <alignment horizontal="right"/>
    </xf>
    <xf numFmtId="37" fontId="35" fillId="0" borderId="8" xfId="5" applyNumberFormat="1" applyFont="1" applyBorder="1" applyAlignment="1">
      <alignment horizontal="right"/>
    </xf>
    <xf numFmtId="37" fontId="36" fillId="0" borderId="0" xfId="4" applyNumberFormat="1" applyFont="1" applyAlignment="1">
      <alignment horizontal="right"/>
    </xf>
    <xf numFmtId="0" fontId="33" fillId="0" borderId="0" xfId="4" applyFont="1" applyBorder="1"/>
    <xf numFmtId="39" fontId="34" fillId="0" borderId="0" xfId="4" applyNumberFormat="1" applyFont="1" applyBorder="1" applyAlignment="1">
      <alignment horizontal="right"/>
    </xf>
    <xf numFmtId="37" fontId="34" fillId="0" borderId="0" xfId="4" applyNumberFormat="1" applyFont="1" applyBorder="1" applyAlignment="1">
      <alignment horizontal="right"/>
    </xf>
    <xf numFmtId="37" fontId="38" fillId="0" borderId="0" xfId="4" applyNumberFormat="1" applyFont="1" applyAlignment="1">
      <alignment horizontal="right"/>
    </xf>
    <xf numFmtId="0" fontId="39" fillId="0" borderId="0" xfId="4" applyFont="1" applyBorder="1" applyAlignment="1">
      <alignment horizontal="right"/>
    </xf>
    <xf numFmtId="170" fontId="39" fillId="0" borderId="0" xfId="5" applyNumberFormat="1" applyFont="1" applyBorder="1" applyAlignment="1">
      <alignment horizontal="right"/>
    </xf>
    <xf numFmtId="170" fontId="39" fillId="0" borderId="10" xfId="5" applyNumberFormat="1" applyFont="1" applyBorder="1" applyAlignment="1">
      <alignment horizontal="right"/>
    </xf>
    <xf numFmtId="170" fontId="40" fillId="0" borderId="0" xfId="5" applyNumberFormat="1" applyFont="1" applyBorder="1" applyAlignment="1">
      <alignment horizontal="right"/>
    </xf>
    <xf numFmtId="0" fontId="40" fillId="0" borderId="0" xfId="4" applyFont="1" applyBorder="1"/>
    <xf numFmtId="0" fontId="38" fillId="0" borderId="0" xfId="4" applyFont="1"/>
    <xf numFmtId="0" fontId="38" fillId="8" borderId="0" xfId="4" applyFont="1" applyFill="1"/>
    <xf numFmtId="37" fontId="40" fillId="0" borderId="0" xfId="4" applyNumberFormat="1" applyFont="1" applyBorder="1" applyAlignment="1">
      <alignment horizontal="right"/>
    </xf>
    <xf numFmtId="39" fontId="40" fillId="0" borderId="0" xfId="4" applyNumberFormat="1" applyFont="1" applyBorder="1" applyAlignment="1">
      <alignment horizontal="right"/>
    </xf>
    <xf numFmtId="0" fontId="38" fillId="0" borderId="0" xfId="4" applyFont="1" applyAlignment="1">
      <alignment horizontal="right"/>
    </xf>
    <xf numFmtId="165" fontId="38" fillId="0" borderId="0" xfId="6" applyNumberFormat="1" applyFont="1" applyAlignment="1">
      <alignment horizontal="right"/>
    </xf>
    <xf numFmtId="0" fontId="34" fillId="0" borderId="0" xfId="4" applyFont="1" applyBorder="1"/>
    <xf numFmtId="0" fontId="34" fillId="0" borderId="0" xfId="4" applyFont="1" applyBorder="1" applyAlignment="1">
      <alignment horizontal="right"/>
    </xf>
    <xf numFmtId="39" fontId="34" fillId="0" borderId="0" xfId="5" applyNumberFormat="1" applyFont="1" applyBorder="1" applyAlignment="1">
      <alignment horizontal="right"/>
    </xf>
    <xf numFmtId="37" fontId="34" fillId="0" borderId="0" xfId="5" applyNumberFormat="1" applyFont="1" applyBorder="1" applyAlignment="1">
      <alignment horizontal="right"/>
    </xf>
    <xf numFmtId="170" fontId="34" fillId="0" borderId="10" xfId="5" applyNumberFormat="1" applyFont="1" applyBorder="1" applyAlignment="1">
      <alignment horizontal="right"/>
    </xf>
    <xf numFmtId="165" fontId="34" fillId="0" borderId="10" xfId="6" applyNumberFormat="1" applyFont="1" applyBorder="1" applyAlignment="1">
      <alignment horizontal="right"/>
    </xf>
    <xf numFmtId="165" fontId="34" fillId="0" borderId="0" xfId="6" applyNumberFormat="1" applyFont="1" applyBorder="1" applyAlignment="1">
      <alignment horizontal="right"/>
    </xf>
    <xf numFmtId="165" fontId="34" fillId="0" borderId="10" xfId="5" applyNumberFormat="1" applyFont="1" applyBorder="1" applyAlignment="1">
      <alignment horizontal="right"/>
    </xf>
    <xf numFmtId="165" fontId="34" fillId="0" borderId="0" xfId="5" applyNumberFormat="1" applyFont="1" applyBorder="1" applyAlignment="1">
      <alignment horizontal="right"/>
    </xf>
    <xf numFmtId="165" fontId="34" fillId="9" borderId="10" xfId="5" applyNumberFormat="1" applyFont="1" applyFill="1" applyBorder="1" applyAlignment="1">
      <alignment horizontal="right"/>
    </xf>
    <xf numFmtId="165" fontId="34" fillId="9" borderId="0" xfId="5" applyNumberFormat="1" applyFont="1" applyFill="1" applyBorder="1" applyAlignment="1">
      <alignment horizontal="right"/>
    </xf>
    <xf numFmtId="0" fontId="34" fillId="9" borderId="8" xfId="4" applyFont="1" applyFill="1" applyBorder="1"/>
    <xf numFmtId="0" fontId="34" fillId="9" borderId="8" xfId="4" applyFont="1" applyFill="1" applyBorder="1" applyAlignment="1">
      <alignment horizontal="right"/>
    </xf>
    <xf numFmtId="39" fontId="34" fillId="9" borderId="8" xfId="5" applyNumberFormat="1" applyFont="1" applyFill="1" applyBorder="1" applyAlignment="1">
      <alignment horizontal="right"/>
    </xf>
    <xf numFmtId="37" fontId="34" fillId="9" borderId="8" xfId="5" applyNumberFormat="1" applyFont="1" applyFill="1" applyBorder="1" applyAlignment="1">
      <alignment horizontal="right"/>
    </xf>
    <xf numFmtId="170" fontId="34" fillId="9" borderId="8" xfId="5" applyNumberFormat="1" applyFont="1" applyFill="1" applyBorder="1" applyAlignment="1">
      <alignment horizontal="right"/>
    </xf>
    <xf numFmtId="170" fontId="34" fillId="9" borderId="9" xfId="5" applyNumberFormat="1" applyFont="1" applyFill="1" applyBorder="1" applyAlignment="1">
      <alignment horizontal="right"/>
    </xf>
    <xf numFmtId="0" fontId="34" fillId="0" borderId="0" xfId="4" applyFont="1"/>
    <xf numFmtId="0" fontId="34" fillId="0" borderId="0" xfId="4" applyFont="1" applyAlignment="1">
      <alignment horizontal="right"/>
    </xf>
    <xf numFmtId="0" fontId="34" fillId="0" borderId="10" xfId="4" applyFont="1" applyBorder="1"/>
    <xf numFmtId="165" fontId="34" fillId="3" borderId="10" xfId="5" applyNumberFormat="1" applyFont="1" applyFill="1" applyBorder="1" applyAlignment="1">
      <alignment horizontal="right"/>
    </xf>
    <xf numFmtId="165" fontId="34" fillId="3" borderId="0" xfId="5" applyNumberFormat="1" applyFont="1" applyFill="1" applyBorder="1" applyAlignment="1">
      <alignment horizontal="right"/>
    </xf>
    <xf numFmtId="165" fontId="7" fillId="0" borderId="23" xfId="1" applyNumberFormat="1" applyFont="1" applyBorder="1" applyAlignment="1">
      <alignment horizontal="center"/>
    </xf>
    <xf numFmtId="0" fontId="5" fillId="0" borderId="24" xfId="0" applyFont="1" applyBorder="1"/>
    <xf numFmtId="3" fontId="6" fillId="3" borderId="0" xfId="0" applyNumberFormat="1" applyFont="1" applyFill="1"/>
    <xf numFmtId="0" fontId="3" fillId="0" borderId="0" xfId="0" applyFont="1" applyAlignment="1">
      <alignment horizontal="left" indent="2"/>
    </xf>
    <xf numFmtId="0" fontId="3" fillId="0" borderId="25" xfId="0" applyFont="1" applyBorder="1"/>
    <xf numFmtId="0" fontId="3" fillId="0" borderId="0" xfId="0" applyFont="1" applyAlignment="1">
      <alignment horizontal="left" indent="1"/>
    </xf>
    <xf numFmtId="0" fontId="77" fillId="3" borderId="0" xfId="4" applyFont="1" applyFill="1" applyBorder="1" applyAlignment="1">
      <alignment horizontal="right"/>
    </xf>
    <xf numFmtId="39" fontId="77" fillId="3" borderId="0" xfId="4" applyNumberFormat="1" applyFont="1" applyFill="1" applyBorder="1" applyAlignment="1">
      <alignment horizontal="right"/>
    </xf>
    <xf numFmtId="37" fontId="77" fillId="3" borderId="0" xfId="4" applyNumberFormat="1" applyFont="1" applyFill="1" applyBorder="1" applyAlignment="1">
      <alignment horizontal="right"/>
    </xf>
    <xf numFmtId="170" fontId="77" fillId="3" borderId="0" xfId="5" applyNumberFormat="1" applyFont="1" applyFill="1" applyBorder="1" applyAlignment="1">
      <alignment horizontal="right"/>
    </xf>
    <xf numFmtId="170" fontId="77" fillId="3" borderId="10" xfId="5" applyNumberFormat="1" applyFont="1" applyFill="1" applyBorder="1" applyAlignment="1">
      <alignment horizontal="right"/>
    </xf>
    <xf numFmtId="165" fontId="77" fillId="3" borderId="10" xfId="6" applyNumberFormat="1" applyFont="1" applyFill="1" applyBorder="1" applyAlignment="1">
      <alignment horizontal="right"/>
    </xf>
    <xf numFmtId="165" fontId="77" fillId="3" borderId="0" xfId="6" applyNumberFormat="1" applyFont="1" applyFill="1" applyBorder="1" applyAlignment="1">
      <alignment horizontal="right"/>
    </xf>
    <xf numFmtId="0" fontId="77" fillId="9" borderId="0" xfId="4" applyFont="1" applyFill="1" applyBorder="1" applyAlignment="1">
      <alignment horizontal="right"/>
    </xf>
    <xf numFmtId="39" fontId="77" fillId="9" borderId="0" xfId="4" applyNumberFormat="1" applyFont="1" applyFill="1" applyBorder="1" applyAlignment="1">
      <alignment horizontal="right"/>
    </xf>
    <xf numFmtId="37" fontId="77" fillId="9" borderId="0" xfId="4" applyNumberFormat="1" applyFont="1" applyFill="1" applyBorder="1" applyAlignment="1">
      <alignment horizontal="right"/>
    </xf>
    <xf numFmtId="170" fontId="77" fillId="9" borderId="0" xfId="5" applyNumberFormat="1" applyFont="1" applyFill="1" applyBorder="1" applyAlignment="1">
      <alignment horizontal="right"/>
    </xf>
    <xf numFmtId="170" fontId="77" fillId="9" borderId="10" xfId="5" applyNumberFormat="1" applyFont="1" applyFill="1" applyBorder="1" applyAlignment="1">
      <alignment horizontal="right"/>
    </xf>
    <xf numFmtId="165" fontId="77" fillId="9" borderId="10" xfId="6" applyNumberFormat="1" applyFont="1" applyFill="1" applyBorder="1" applyAlignment="1">
      <alignment horizontal="right"/>
    </xf>
    <xf numFmtId="165" fontId="77" fillId="9" borderId="0" xfId="6" applyNumberFormat="1" applyFont="1" applyFill="1" applyBorder="1" applyAlignment="1">
      <alignment horizontal="right"/>
    </xf>
    <xf numFmtId="39" fontId="77" fillId="3" borderId="0" xfId="5" applyNumberFormat="1" applyFont="1" applyFill="1" applyBorder="1" applyAlignment="1">
      <alignment horizontal="right"/>
    </xf>
    <xf numFmtId="37" fontId="77" fillId="3" borderId="0" xfId="5" applyNumberFormat="1" applyFont="1" applyFill="1" applyBorder="1" applyAlignment="1">
      <alignment horizontal="right"/>
    </xf>
    <xf numFmtId="39" fontId="77" fillId="9" borderId="0" xfId="5" applyNumberFormat="1" applyFont="1" applyFill="1" applyBorder="1" applyAlignment="1">
      <alignment horizontal="right"/>
    </xf>
    <xf numFmtId="37" fontId="77" fillId="9" borderId="0" xfId="5" applyNumberFormat="1" applyFont="1" applyFill="1" applyBorder="1" applyAlignment="1">
      <alignment horizontal="right"/>
    </xf>
    <xf numFmtId="170" fontId="77" fillId="0" borderId="0" xfId="5" applyNumberFormat="1" applyFont="1" applyBorder="1" applyAlignment="1">
      <alignment horizontal="right"/>
    </xf>
    <xf numFmtId="0" fontId="77" fillId="0" borderId="0" xfId="4" applyFont="1" applyBorder="1" applyAlignment="1">
      <alignment horizontal="right"/>
    </xf>
    <xf numFmtId="39" fontId="77" fillId="0" borderId="0" xfId="5" applyNumberFormat="1" applyFont="1" applyBorder="1" applyAlignment="1">
      <alignment horizontal="right"/>
    </xf>
    <xf numFmtId="37" fontId="77" fillId="0" borderId="0" xfId="5" applyNumberFormat="1" applyFont="1" applyBorder="1" applyAlignment="1">
      <alignment horizontal="right"/>
    </xf>
    <xf numFmtId="170" fontId="77" fillId="0" borderId="10" xfId="5" applyNumberFormat="1" applyFont="1" applyBorder="1" applyAlignment="1">
      <alignment horizontal="right"/>
    </xf>
    <xf numFmtId="165" fontId="77" fillId="0" borderId="10" xfId="6" applyNumberFormat="1" applyFont="1" applyBorder="1" applyAlignment="1">
      <alignment horizontal="right"/>
    </xf>
    <xf numFmtId="165" fontId="77" fillId="0" borderId="0" xfId="6" applyNumberFormat="1" applyFont="1" applyBorder="1" applyAlignment="1">
      <alignment horizontal="right"/>
    </xf>
    <xf numFmtId="0" fontId="77" fillId="9" borderId="8" xfId="4" applyFont="1" applyFill="1" applyBorder="1" applyAlignment="1">
      <alignment horizontal="right"/>
    </xf>
    <xf numFmtId="39" fontId="77" fillId="9" borderId="8" xfId="5" applyNumberFormat="1" applyFont="1" applyFill="1" applyBorder="1" applyAlignment="1">
      <alignment horizontal="right"/>
    </xf>
    <xf numFmtId="37" fontId="77" fillId="9" borderId="8" xfId="5" applyNumberFormat="1" applyFont="1" applyFill="1" applyBorder="1" applyAlignment="1">
      <alignment horizontal="right"/>
    </xf>
    <xf numFmtId="170" fontId="77" fillId="9" borderId="8" xfId="5" applyNumberFormat="1" applyFont="1" applyFill="1" applyBorder="1" applyAlignment="1">
      <alignment horizontal="right"/>
    </xf>
    <xf numFmtId="170" fontId="77" fillId="9" borderId="9" xfId="5" applyNumberFormat="1" applyFont="1" applyFill="1" applyBorder="1" applyAlignment="1">
      <alignment horizontal="right"/>
    </xf>
    <xf numFmtId="165" fontId="77" fillId="9" borderId="10" xfId="5" applyNumberFormat="1" applyFont="1" applyFill="1" applyBorder="1" applyAlignment="1">
      <alignment horizontal="right"/>
    </xf>
    <xf numFmtId="165" fontId="77" fillId="9" borderId="0" xfId="5" applyNumberFormat="1" applyFont="1" applyFill="1" applyBorder="1" applyAlignment="1">
      <alignment horizontal="right"/>
    </xf>
    <xf numFmtId="165" fontId="77" fillId="0" borderId="10" xfId="5" applyNumberFormat="1" applyFont="1" applyBorder="1" applyAlignment="1">
      <alignment horizontal="right"/>
    </xf>
    <xf numFmtId="165" fontId="77" fillId="0" borderId="0" xfId="5" applyNumberFormat="1" applyFont="1" applyBorder="1" applyAlignment="1">
      <alignment horizontal="right"/>
    </xf>
    <xf numFmtId="165" fontId="77" fillId="3" borderId="10" xfId="5" applyNumberFormat="1" applyFont="1" applyFill="1" applyBorder="1" applyAlignment="1">
      <alignment horizontal="right"/>
    </xf>
    <xf numFmtId="165" fontId="77" fillId="3" borderId="0" xfId="5" applyNumberFormat="1" applyFont="1" applyFill="1" applyBorder="1" applyAlignment="1">
      <alignment horizontal="right"/>
    </xf>
    <xf numFmtId="0" fontId="7" fillId="0" borderId="23" xfId="0" applyFont="1" applyBorder="1" applyAlignment="1">
      <alignment horizontal="left" indent="1"/>
    </xf>
    <xf numFmtId="3" fontId="7" fillId="3" borderId="23" xfId="0" applyNumberFormat="1" applyFont="1" applyFill="1" applyBorder="1" applyAlignment="1">
      <alignment horizontal="left" indent="1"/>
    </xf>
    <xf numFmtId="2" fontId="7" fillId="3" borderId="23" xfId="0" applyNumberFormat="1" applyFont="1" applyFill="1" applyBorder="1" applyAlignment="1">
      <alignment horizontal="left" indent="1"/>
    </xf>
    <xf numFmtId="3" fontId="7" fillId="3" borderId="23" xfId="0" applyNumberFormat="1" applyFont="1" applyFill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7" fillId="0" borderId="23" xfId="1" applyNumberFormat="1" applyFont="1" applyBorder="1" applyAlignment="1">
      <alignment horizontal="right"/>
    </xf>
    <xf numFmtId="39" fontId="20" fillId="0" borderId="0" xfId="0" applyNumberFormat="1" applyFont="1" applyAlignment="1">
      <alignment horizontal="center"/>
    </xf>
    <xf numFmtId="195" fontId="14" fillId="0" borderId="0" xfId="3" applyNumberFormat="1" applyFont="1"/>
    <xf numFmtId="195" fontId="5" fillId="0" borderId="0" xfId="0" applyNumberFormat="1" applyFont="1"/>
    <xf numFmtId="0" fontId="4" fillId="21" borderId="0" xfId="0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/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/>
    <xf numFmtId="9" fontId="0" fillId="0" borderId="0" xfId="0" applyNumberFormat="1"/>
    <xf numFmtId="43" fontId="9" fillId="0" borderId="0" xfId="3" applyNumberFormat="1" applyFont="1" applyBorder="1" applyAlignment="1">
      <alignment horizontal="center"/>
    </xf>
    <xf numFmtId="43" fontId="9" fillId="4" borderId="0" xfId="3" applyNumberFormat="1" applyFont="1" applyFill="1" applyBorder="1" applyAlignment="1">
      <alignment horizontal="center"/>
    </xf>
    <xf numFmtId="196" fontId="9" fillId="4" borderId="0" xfId="3" applyNumberFormat="1" applyFont="1" applyFill="1" applyBorder="1" applyAlignment="1">
      <alignment horizontal="center"/>
    </xf>
    <xf numFmtId="196" fontId="9" fillId="0" borderId="0" xfId="3" applyNumberFormat="1" applyFont="1" applyBorder="1" applyAlignment="1">
      <alignment horizontal="center"/>
    </xf>
    <xf numFmtId="0" fontId="15" fillId="2" borderId="0" xfId="2" applyFont="1" applyFill="1" applyBorder="1" applyAlignment="1" applyProtection="1">
      <alignment horizontal="centerContinuous" vertical="center"/>
    </xf>
    <xf numFmtId="0" fontId="78" fillId="0" borderId="0" xfId="0" applyFont="1"/>
    <xf numFmtId="43" fontId="0" fillId="0" borderId="0" xfId="0" applyNumberFormat="1"/>
    <xf numFmtId="0" fontId="79" fillId="0" borderId="0" xfId="0" applyFont="1" applyAlignment="1"/>
    <xf numFmtId="165" fontId="7" fillId="0" borderId="24" xfId="1" applyNumberFormat="1" applyFont="1" applyBorder="1" applyAlignment="1">
      <alignment horizontal="center"/>
    </xf>
    <xf numFmtId="0" fontId="4" fillId="22" borderId="4" xfId="0" applyNumberFormat="1" applyFont="1" applyFill="1" applyBorder="1" applyAlignment="1">
      <alignment horizontal="center" vertical="center" wrapText="1"/>
    </xf>
    <xf numFmtId="10" fontId="3" fillId="4" borderId="0" xfId="1" applyNumberFormat="1" applyFont="1" applyFill="1" applyBorder="1" applyAlignment="1">
      <alignment horizontal="center"/>
    </xf>
    <xf numFmtId="166" fontId="14" fillId="3" borderId="0" xfId="3" applyNumberFormat="1" applyFont="1" applyFill="1"/>
    <xf numFmtId="195" fontId="14" fillId="3" borderId="0" xfId="3" applyNumberFormat="1" applyFont="1" applyFill="1"/>
    <xf numFmtId="165" fontId="10" fillId="0" borderId="0" xfId="0" applyNumberFormat="1" applyFont="1"/>
    <xf numFmtId="0" fontId="5" fillId="0" borderId="0" xfId="0" applyFont="1" applyFill="1"/>
    <xf numFmtId="0" fontId="4" fillId="2" borderId="0" xfId="2" applyFont="1" applyFill="1" applyBorder="1" applyAlignment="1" applyProtection="1">
      <alignment horizontal="center" vertical="center" wrapText="1"/>
    </xf>
    <xf numFmtId="16" fontId="4" fillId="0" borderId="0" xfId="2" applyNumberFormat="1" applyFont="1" applyFill="1" applyBorder="1" applyAlignment="1" applyProtection="1">
      <alignment horizontal="left" vertical="center" wrapText="1"/>
    </xf>
    <xf numFmtId="16" fontId="4" fillId="2" borderId="0" xfId="2" applyNumberFormat="1" applyFont="1" applyFill="1" applyBorder="1" applyAlignment="1" applyProtection="1">
      <alignment horizontal="center" vertical="center" wrapText="1"/>
    </xf>
    <xf numFmtId="15" fontId="4" fillId="2" borderId="0" xfId="2" applyNumberFormat="1" applyFont="1" applyFill="1" applyBorder="1" applyAlignment="1" applyProtection="1">
      <alignment horizontal="center" vertical="center" wrapText="1"/>
    </xf>
    <xf numFmtId="9" fontId="14" fillId="0" borderId="0" xfId="3" applyNumberFormat="1" applyFont="1"/>
    <xf numFmtId="43" fontId="14" fillId="0" borderId="0" xfId="3" applyNumberFormat="1" applyFont="1"/>
    <xf numFmtId="166" fontId="5" fillId="0" borderId="0" xfId="3" applyNumberFormat="1" applyFont="1"/>
    <xf numFmtId="0" fontId="4" fillId="2" borderId="4" xfId="0" applyNumberFormat="1" applyFont="1" applyFill="1" applyBorder="1" applyAlignment="1">
      <alignment horizontal="center" vertical="center" wrapText="1"/>
    </xf>
    <xf numFmtId="0" fontId="81" fillId="0" borderId="0" xfId="4" applyFont="1" applyBorder="1" applyAlignment="1">
      <alignment horizontal="right"/>
    </xf>
    <xf numFmtId="39" fontId="77" fillId="0" borderId="0" xfId="4" applyNumberFormat="1" applyFont="1" applyBorder="1" applyAlignment="1">
      <alignment horizontal="right"/>
    </xf>
    <xf numFmtId="37" fontId="77" fillId="0" borderId="0" xfId="4" applyNumberFormat="1" applyFont="1" applyBorder="1" applyAlignment="1">
      <alignment horizontal="right"/>
    </xf>
    <xf numFmtId="170" fontId="81" fillId="0" borderId="0" xfId="5" applyNumberFormat="1" applyFont="1" applyBorder="1" applyAlignment="1">
      <alignment horizontal="right"/>
    </xf>
    <xf numFmtId="170" fontId="81" fillId="0" borderId="10" xfId="5" applyNumberFormat="1" applyFont="1" applyBorder="1" applyAlignment="1">
      <alignment horizontal="right"/>
    </xf>
    <xf numFmtId="0" fontId="77" fillId="7" borderId="8" xfId="4" applyFont="1" applyFill="1" applyBorder="1" applyAlignment="1">
      <alignment horizontal="right"/>
    </xf>
    <xf numFmtId="39" fontId="77" fillId="7" borderId="8" xfId="4" applyNumberFormat="1" applyFont="1" applyFill="1" applyBorder="1" applyAlignment="1">
      <alignment horizontal="right"/>
    </xf>
    <xf numFmtId="37" fontId="77" fillId="7" borderId="8" xfId="4" applyNumberFormat="1" applyFont="1" applyFill="1" applyBorder="1" applyAlignment="1">
      <alignment horizontal="right"/>
    </xf>
    <xf numFmtId="170" fontId="77" fillId="7" borderId="8" xfId="5" applyNumberFormat="1" applyFont="1" applyFill="1" applyBorder="1" applyAlignment="1">
      <alignment horizontal="right"/>
    </xf>
    <xf numFmtId="170" fontId="77" fillId="7" borderId="9" xfId="5" applyNumberFormat="1" applyFont="1" applyFill="1" applyBorder="1" applyAlignment="1">
      <alignment horizontal="right"/>
    </xf>
    <xf numFmtId="170" fontId="77" fillId="7" borderId="0" xfId="5" applyNumberFormat="1" applyFont="1" applyFill="1" applyBorder="1" applyAlignment="1">
      <alignment horizontal="right"/>
    </xf>
    <xf numFmtId="170" fontId="77" fillId="7" borderId="10" xfId="5" applyNumberFormat="1" applyFont="1" applyFill="1" applyBorder="1" applyAlignment="1">
      <alignment horizontal="right"/>
    </xf>
    <xf numFmtId="166" fontId="14" fillId="3" borderId="0" xfId="3" applyNumberFormat="1" applyFont="1" applyFill="1" applyBorder="1" applyAlignment="1">
      <alignment horizontal="center"/>
    </xf>
    <xf numFmtId="3" fontId="9" fillId="4" borderId="0" xfId="3" applyNumberFormat="1" applyFont="1" applyFill="1" applyBorder="1" applyAlignment="1">
      <alignment horizontal="right"/>
    </xf>
    <xf numFmtId="0" fontId="82" fillId="0" borderId="0" xfId="0" applyFont="1"/>
    <xf numFmtId="9" fontId="82" fillId="0" borderId="0" xfId="0" applyNumberFormat="1" applyFont="1"/>
    <xf numFmtId="164" fontId="82" fillId="0" borderId="0" xfId="0" applyNumberFormat="1" applyFont="1"/>
    <xf numFmtId="0" fontId="83" fillId="0" borderId="0" xfId="0" applyFont="1"/>
    <xf numFmtId="3" fontId="5" fillId="0" borderId="0" xfId="0" applyNumberFormat="1" applyFont="1"/>
    <xf numFmtId="1" fontId="5" fillId="0" borderId="0" xfId="0" applyNumberFormat="1" applyFont="1"/>
    <xf numFmtId="43" fontId="84" fillId="0" borderId="0" xfId="0" applyNumberFormat="1" applyFont="1"/>
    <xf numFmtId="0" fontId="84" fillId="0" borderId="0" xfId="0" applyFont="1"/>
    <xf numFmtId="0" fontId="85" fillId="0" borderId="0" xfId="0" quotePrefix="1" applyFont="1"/>
    <xf numFmtId="166" fontId="84" fillId="0" borderId="0" xfId="0" applyNumberFormat="1" applyFont="1"/>
    <xf numFmtId="164" fontId="84" fillId="0" borderId="0" xfId="0" applyNumberFormat="1" applyFont="1"/>
    <xf numFmtId="9" fontId="84" fillId="0" borderId="0" xfId="0" applyNumberFormat="1" applyFont="1"/>
    <xf numFmtId="195" fontId="82" fillId="0" borderId="0" xfId="0" applyNumberFormat="1" applyFont="1"/>
    <xf numFmtId="0" fontId="86" fillId="0" borderId="0" xfId="0" applyFont="1"/>
    <xf numFmtId="164" fontId="86" fillId="0" borderId="0" xfId="0" applyNumberFormat="1" applyFont="1"/>
    <xf numFmtId="197" fontId="10" fillId="0" borderId="0" xfId="0" applyNumberFormat="1" applyFont="1" applyAlignment="1">
      <alignment horizontal="right"/>
    </xf>
    <xf numFmtId="165" fontId="7" fillId="0" borderId="3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right"/>
    </xf>
    <xf numFmtId="165" fontId="7" fillId="0" borderId="23" xfId="1" applyNumberFormat="1" applyFont="1" applyFill="1" applyBorder="1" applyAlignment="1">
      <alignment horizontal="center"/>
    </xf>
    <xf numFmtId="2" fontId="7" fillId="0" borderId="23" xfId="1" applyNumberFormat="1" applyFont="1" applyFill="1" applyBorder="1" applyAlignment="1">
      <alignment horizontal="right"/>
    </xf>
    <xf numFmtId="0" fontId="5" fillId="0" borderId="24" xfId="0" applyFont="1" applyFill="1" applyBorder="1"/>
    <xf numFmtId="9" fontId="3" fillId="0" borderId="0" xfId="1" applyNumberFormat="1" applyFont="1" applyBorder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43" fontId="3" fillId="0" borderId="0" xfId="3" applyNumberFormat="1" applyFont="1" applyBorder="1" applyAlignment="1">
      <alignment horizontal="center"/>
    </xf>
    <xf numFmtId="0" fontId="0" fillId="0" borderId="0" xfId="0" applyFont="1"/>
    <xf numFmtId="166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Border="1" applyAlignment="1">
      <alignment horizontal="center"/>
    </xf>
    <xf numFmtId="0" fontId="87" fillId="0" borderId="0" xfId="0" applyFont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9" fontId="3" fillId="4" borderId="0" xfId="1" applyNumberFormat="1" applyFont="1" applyFill="1" applyBorder="1" applyAlignment="1">
      <alignment horizontal="center"/>
    </xf>
    <xf numFmtId="0" fontId="4" fillId="22" borderId="0" xfId="0" applyNumberFormat="1" applyFont="1" applyFill="1" applyBorder="1" applyAlignment="1">
      <alignment horizontal="center" vertical="center" wrapText="1"/>
    </xf>
    <xf numFmtId="0" fontId="4" fillId="22" borderId="1" xfId="0" applyNumberFormat="1" applyFont="1" applyFill="1" applyBorder="1" applyAlignment="1">
      <alignment horizontal="center" vertical="center" wrapText="1"/>
    </xf>
    <xf numFmtId="10" fontId="79" fillId="0" borderId="0" xfId="0" applyNumberFormat="1" applyFont="1" applyAlignment="1"/>
    <xf numFmtId="10" fontId="88" fillId="0" borderId="0" xfId="0" applyNumberFormat="1" applyFont="1"/>
    <xf numFmtId="0" fontId="4" fillId="2" borderId="4" xfId="0" applyNumberFormat="1" applyFont="1" applyFill="1" applyBorder="1" applyAlignment="1">
      <alignment horizontal="center" vertical="center" wrapText="1"/>
    </xf>
    <xf numFmtId="166" fontId="9" fillId="0" borderId="0" xfId="3" applyNumberFormat="1" applyFont="1" applyBorder="1" applyAlignment="1">
      <alignment horizontal="right"/>
    </xf>
    <xf numFmtId="166" fontId="9" fillId="0" borderId="0" xfId="3" applyNumberFormat="1" applyFont="1" applyBorder="1" applyAlignment="1"/>
    <xf numFmtId="166" fontId="9" fillId="4" borderId="0" xfId="3" applyNumberFormat="1" applyFont="1" applyFill="1" applyBorder="1" applyAlignment="1"/>
    <xf numFmtId="166" fontId="9" fillId="0" borderId="0" xfId="3" applyNumberFormat="1" applyFont="1" applyFill="1" applyBorder="1" applyAlignment="1"/>
    <xf numFmtId="43" fontId="5" fillId="0" borderId="0" xfId="0" applyNumberFormat="1" applyFo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</cellXfs>
  <cellStyles count="105">
    <cellStyle name="£ BP" xfId="7" xr:uid="{00000000-0005-0000-0000-000000000000}"/>
    <cellStyle name="¥ JY" xfId="8" xr:uid="{00000000-0005-0000-0000-000001000000}"/>
    <cellStyle name="Above" xfId="9" xr:uid="{00000000-0005-0000-0000-000002000000}"/>
    <cellStyle name="Black Text" xfId="10" xr:uid="{00000000-0005-0000-0000-000003000000}"/>
    <cellStyle name="Black Text (No Wrap)" xfId="11" xr:uid="{00000000-0005-0000-0000-000004000000}"/>
    <cellStyle name="Blue Text" xfId="12" xr:uid="{00000000-0005-0000-0000-000005000000}"/>
    <cellStyle name="Blue Text - Ariel 10" xfId="13" xr:uid="{00000000-0005-0000-0000-000006000000}"/>
    <cellStyle name="Bold/Border" xfId="14" xr:uid="{00000000-0005-0000-0000-000007000000}"/>
    <cellStyle name="bolet" xfId="15" xr:uid="{00000000-0005-0000-0000-000008000000}"/>
    <cellStyle name="Border Heavy" xfId="16" xr:uid="{00000000-0005-0000-0000-000009000000}"/>
    <cellStyle name="Border Thin" xfId="17" xr:uid="{00000000-0005-0000-0000-00000A000000}"/>
    <cellStyle name="Bullet" xfId="18" xr:uid="{00000000-0005-0000-0000-00000B000000}"/>
    <cellStyle name="c" xfId="19" xr:uid="{00000000-0005-0000-0000-00000C000000}"/>
    <cellStyle name="CABEÇALHO" xfId="20" xr:uid="{00000000-0005-0000-0000-00000D000000}"/>
    <cellStyle name="CABEÇALHO2" xfId="21" xr:uid="{00000000-0005-0000-0000-00000E000000}"/>
    <cellStyle name="CLEAR" xfId="22" xr:uid="{00000000-0005-0000-0000-00000F000000}"/>
    <cellStyle name="ColHeading" xfId="23" xr:uid="{00000000-0005-0000-0000-000010000000}"/>
    <cellStyle name="Comma" xfId="3" builtinId="3"/>
    <cellStyle name="Comma  - Style1" xfId="24" xr:uid="{00000000-0005-0000-0000-000012000000}"/>
    <cellStyle name="Comma  - Style2" xfId="25" xr:uid="{00000000-0005-0000-0000-000013000000}"/>
    <cellStyle name="Comma  - Style3" xfId="26" xr:uid="{00000000-0005-0000-0000-000014000000}"/>
    <cellStyle name="Comma  - Style4" xfId="27" xr:uid="{00000000-0005-0000-0000-000015000000}"/>
    <cellStyle name="Comma  - Style5" xfId="28" xr:uid="{00000000-0005-0000-0000-000016000000}"/>
    <cellStyle name="Comma  - Style6" xfId="29" xr:uid="{00000000-0005-0000-0000-000017000000}"/>
    <cellStyle name="Comma  - Style7" xfId="30" xr:uid="{00000000-0005-0000-0000-000018000000}"/>
    <cellStyle name="Comma  - Style8" xfId="31" xr:uid="{00000000-0005-0000-0000-000019000000}"/>
    <cellStyle name="Comma 2" xfId="32" xr:uid="{00000000-0005-0000-0000-00001A000000}"/>
    <cellStyle name="Comma 3" xfId="5" xr:uid="{00000000-0005-0000-0000-00001B000000}"/>
    <cellStyle name="Comma0" xfId="33" xr:uid="{00000000-0005-0000-0000-00001C000000}"/>
    <cellStyle name="Company" xfId="34" xr:uid="{00000000-0005-0000-0000-00001D000000}"/>
    <cellStyle name="Conferência" xfId="35" xr:uid="{00000000-0005-0000-0000-00001E000000}"/>
    <cellStyle name="CurRatio" xfId="36" xr:uid="{00000000-0005-0000-0000-00001F000000}"/>
    <cellStyle name="Currency0" xfId="37" xr:uid="{00000000-0005-0000-0000-000020000000}"/>
    <cellStyle name="CUS.Work.Area" xfId="38" xr:uid="{00000000-0005-0000-0000-000021000000}"/>
    <cellStyle name="Dash" xfId="39" xr:uid="{00000000-0005-0000-0000-000022000000}"/>
    <cellStyle name="Date, mmm-yy" xfId="40" xr:uid="{00000000-0005-0000-0000-000023000000}"/>
    <cellStyle name="En miles" xfId="41" xr:uid="{00000000-0005-0000-0000-000024000000}"/>
    <cellStyle name="En millones" xfId="42" xr:uid="{00000000-0005-0000-0000-000025000000}"/>
    <cellStyle name="Euro" xfId="43" xr:uid="{00000000-0005-0000-0000-000026000000}"/>
    <cellStyle name="F2" xfId="44" xr:uid="{00000000-0005-0000-0000-000027000000}"/>
    <cellStyle name="F3" xfId="45" xr:uid="{00000000-0005-0000-0000-000028000000}"/>
    <cellStyle name="F4" xfId="46" xr:uid="{00000000-0005-0000-0000-000029000000}"/>
    <cellStyle name="F5" xfId="47" xr:uid="{00000000-0005-0000-0000-00002A000000}"/>
    <cellStyle name="F6" xfId="48" xr:uid="{00000000-0005-0000-0000-00002B000000}"/>
    <cellStyle name="F7" xfId="49" xr:uid="{00000000-0005-0000-0000-00002C000000}"/>
    <cellStyle name="F8" xfId="50" xr:uid="{00000000-0005-0000-0000-00002D000000}"/>
    <cellStyle name="facha" xfId="51" xr:uid="{00000000-0005-0000-0000-00002E000000}"/>
    <cellStyle name="Fraction Change" xfId="52" xr:uid="{00000000-0005-0000-0000-00002F000000}"/>
    <cellStyle name="Fractions" xfId="53" xr:uid="{00000000-0005-0000-0000-000030000000}"/>
    <cellStyle name="fundoamarelo" xfId="54" xr:uid="{00000000-0005-0000-0000-000031000000}"/>
    <cellStyle name="fundoazul" xfId="55" xr:uid="{00000000-0005-0000-0000-000032000000}"/>
    <cellStyle name="fundocinza" xfId="56" xr:uid="{00000000-0005-0000-0000-000033000000}"/>
    <cellStyle name="fundodeentrada" xfId="57" xr:uid="{00000000-0005-0000-0000-000034000000}"/>
    <cellStyle name="fundoentrada" xfId="58" xr:uid="{00000000-0005-0000-0000-000035000000}"/>
    <cellStyle name="Growth Rates/Margins" xfId="59" xr:uid="{00000000-0005-0000-0000-000036000000}"/>
    <cellStyle name="GWN Table Body" xfId="60" xr:uid="{00000000-0005-0000-0000-000037000000}"/>
    <cellStyle name="GWN Table Header" xfId="61" xr:uid="{00000000-0005-0000-0000-000038000000}"/>
    <cellStyle name="GWN Table Left Header" xfId="62" xr:uid="{00000000-0005-0000-0000-000039000000}"/>
    <cellStyle name="GWN Table Note" xfId="63" xr:uid="{00000000-0005-0000-0000-00003A000000}"/>
    <cellStyle name="GWN Table Title" xfId="64" xr:uid="{00000000-0005-0000-0000-00003B000000}"/>
    <cellStyle name="Hipervínculo" xfId="65" xr:uid="{00000000-0005-0000-0000-00003C000000}"/>
    <cellStyle name="Input Box" xfId="66" xr:uid="{00000000-0005-0000-0000-00003D000000}"/>
    <cellStyle name="InputBlueFont" xfId="67" xr:uid="{00000000-0005-0000-0000-00003E000000}"/>
    <cellStyle name="Integer" xfId="68" xr:uid="{00000000-0005-0000-0000-00003F000000}"/>
    <cellStyle name="Item" xfId="69" xr:uid="{00000000-0005-0000-0000-000040000000}"/>
    <cellStyle name="ItemTypeClass" xfId="70" xr:uid="{00000000-0005-0000-0000-000041000000}"/>
    <cellStyle name="jo[" xfId="71" xr:uid="{00000000-0005-0000-0000-000042000000}"/>
    <cellStyle name="Millares [0]_19 02 01" xfId="72" xr:uid="{00000000-0005-0000-0000-000043000000}"/>
    <cellStyle name="Millares [2]" xfId="73" xr:uid="{00000000-0005-0000-0000-000044000000}"/>
    <cellStyle name="Millares_19 02 01" xfId="74" xr:uid="{00000000-0005-0000-0000-000045000000}"/>
    <cellStyle name="Moneda [0]_19 02 01" xfId="75" xr:uid="{00000000-0005-0000-0000-000046000000}"/>
    <cellStyle name="Moneda_19 02 01" xfId="76" xr:uid="{00000000-0005-0000-0000-000047000000}"/>
    <cellStyle name="No-definido" xfId="77" xr:uid="{00000000-0005-0000-0000-000048000000}"/>
    <cellStyle name="Normal" xfId="0" builtinId="0"/>
    <cellStyle name="Normal - Style1" xfId="78" xr:uid="{00000000-0005-0000-0000-00004A000000}"/>
    <cellStyle name="Normal (%)" xfId="79" xr:uid="{00000000-0005-0000-0000-00004B000000}"/>
    <cellStyle name="Normal (No)" xfId="80" xr:uid="{00000000-0005-0000-0000-00004C000000}"/>
    <cellStyle name="Normal 2" xfId="81" xr:uid="{00000000-0005-0000-0000-00004D000000}"/>
    <cellStyle name="Normal 3" xfId="4" xr:uid="{00000000-0005-0000-0000-00004E000000}"/>
    <cellStyle name="Normal_FUNNEL" xfId="2" xr:uid="{00000000-0005-0000-0000-00004F000000}"/>
    <cellStyle name="notetotal" xfId="82" xr:uid="{00000000-0005-0000-0000-000050000000}"/>
    <cellStyle name="Nulos" xfId="83" xr:uid="{00000000-0005-0000-0000-000051000000}"/>
    <cellStyle name="Oficio" xfId="84" xr:uid="{00000000-0005-0000-0000-000052000000}"/>
    <cellStyle name="Percent" xfId="1" builtinId="5"/>
    <cellStyle name="Percent 2" xfId="85" xr:uid="{00000000-0005-0000-0000-000054000000}"/>
    <cellStyle name="Percent 3" xfId="6" xr:uid="{00000000-0005-0000-0000-000055000000}"/>
    <cellStyle name="PercentChange" xfId="86" xr:uid="{00000000-0005-0000-0000-000056000000}"/>
    <cellStyle name="Porcentual_mov_dolar" xfId="87" xr:uid="{00000000-0005-0000-0000-000057000000}"/>
    <cellStyle name="Premissas" xfId="88" xr:uid="{00000000-0005-0000-0000-000058000000}"/>
    <cellStyle name="Projeções" xfId="89" xr:uid="{00000000-0005-0000-0000-000059000000}"/>
    <cellStyle name="Ratio" xfId="90" xr:uid="{00000000-0005-0000-0000-00005A000000}"/>
    <cellStyle name="RatioX" xfId="91" xr:uid="{00000000-0005-0000-0000-00005B000000}"/>
    <cellStyle name="Red Text" xfId="92" xr:uid="{00000000-0005-0000-0000-00005C000000}"/>
    <cellStyle name="s" xfId="93" xr:uid="{00000000-0005-0000-0000-00005D000000}"/>
    <cellStyle name="s_DCFLBO Code" xfId="94" xr:uid="{00000000-0005-0000-0000-00005E000000}"/>
    <cellStyle name="s_DCFLBO Code_1" xfId="95" xr:uid="{00000000-0005-0000-0000-00005F000000}"/>
    <cellStyle name="ScripFactor" xfId="96" xr:uid="{00000000-0005-0000-0000-000060000000}"/>
    <cellStyle name="SectionHeading" xfId="97" xr:uid="{00000000-0005-0000-0000-000061000000}"/>
    <cellStyle name="Shading" xfId="98" xr:uid="{00000000-0005-0000-0000-000062000000}"/>
    <cellStyle name="Standard" xfId="99" xr:uid="{00000000-0005-0000-0000-000063000000}"/>
    <cellStyle name="Table Title" xfId="100" xr:uid="{00000000-0005-0000-0000-000064000000}"/>
    <cellStyle name="Table Units" xfId="101" xr:uid="{00000000-0005-0000-0000-000065000000}"/>
    <cellStyle name="Titles" xfId="102" xr:uid="{00000000-0005-0000-0000-000066000000}"/>
    <cellStyle name="vaca" xfId="103" xr:uid="{00000000-0005-0000-0000-000067000000}"/>
    <cellStyle name="Yellow" xfId="104" xr:uid="{00000000-0005-0000-0000-000068000000}"/>
  </cellStyles>
  <dxfs count="0"/>
  <tableStyles count="0" defaultTableStyle="TableStyleMedium2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87089</xdr:colOff>
      <xdr:row>0</xdr:row>
      <xdr:rowOff>154102</xdr:rowOff>
    </xdr:from>
    <xdr:to>
      <xdr:col>5</xdr:col>
      <xdr:colOff>542925</xdr:colOff>
      <xdr:row>4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352132" y="154102"/>
          <a:ext cx="1656815" cy="612039"/>
          <a:chOff x="7318375" y="220726"/>
          <a:chExt cx="1496398" cy="501397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spect="1" noChangeArrowheads="1" noTextEdit="1"/>
          </xdr:cNvSpPr>
        </xdr:nvSpPr>
        <xdr:spPr bwMode="blackGray">
          <a:xfrm>
            <a:off x="7318375" y="220726"/>
            <a:ext cx="1496398" cy="501397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blackGray">
          <a:xfrm>
            <a:off x="7318375" y="220726"/>
            <a:ext cx="491649" cy="501397"/>
          </a:xfrm>
          <a:custGeom>
            <a:avLst/>
            <a:gdLst>
              <a:gd name="T0" fmla="*/ 118 w 3787"/>
              <a:gd name="T1" fmla="*/ 2597 h 3860"/>
              <a:gd name="T2" fmla="*/ 39 w 3787"/>
              <a:gd name="T3" fmla="*/ 2319 h 3860"/>
              <a:gd name="T4" fmla="*/ 2 w 3787"/>
              <a:gd name="T5" fmla="*/ 2037 h 3860"/>
              <a:gd name="T6" fmla="*/ 7 w 3787"/>
              <a:gd name="T7" fmla="*/ 1757 h 3860"/>
              <a:gd name="T8" fmla="*/ 52 w 3787"/>
              <a:gd name="T9" fmla="*/ 1482 h 3860"/>
              <a:gd name="T10" fmla="*/ 173 w 3787"/>
              <a:gd name="T11" fmla="*/ 1133 h 3860"/>
              <a:gd name="T12" fmla="*/ 306 w 3787"/>
              <a:gd name="T13" fmla="*/ 888 h 3860"/>
              <a:gd name="T14" fmla="*/ 473 w 3787"/>
              <a:gd name="T15" fmla="*/ 663 h 3860"/>
              <a:gd name="T16" fmla="*/ 674 w 3787"/>
              <a:gd name="T17" fmla="*/ 462 h 3860"/>
              <a:gd name="T18" fmla="*/ 908 w 3787"/>
              <a:gd name="T19" fmla="*/ 293 h 3860"/>
              <a:gd name="T20" fmla="*/ 1139 w 3787"/>
              <a:gd name="T21" fmla="*/ 169 h 3860"/>
              <a:gd name="T22" fmla="*/ 1502 w 3787"/>
              <a:gd name="T23" fmla="*/ 48 h 3860"/>
              <a:gd name="T24" fmla="*/ 1870 w 3787"/>
              <a:gd name="T25" fmla="*/ 0 h 3860"/>
              <a:gd name="T26" fmla="*/ 2213 w 3787"/>
              <a:gd name="T27" fmla="*/ 22 h 3860"/>
              <a:gd name="T28" fmla="*/ 2397 w 3787"/>
              <a:gd name="T29" fmla="*/ 68 h 3860"/>
              <a:gd name="T30" fmla="*/ 2375 w 3787"/>
              <a:gd name="T31" fmla="*/ 79 h 3860"/>
              <a:gd name="T32" fmla="*/ 2053 w 3787"/>
              <a:gd name="T33" fmla="*/ 50 h 3860"/>
              <a:gd name="T34" fmla="*/ 1764 w 3787"/>
              <a:gd name="T35" fmla="*/ 77 h 3860"/>
              <a:gd name="T36" fmla="*/ 1476 w 3787"/>
              <a:gd name="T37" fmla="*/ 153 h 3860"/>
              <a:gd name="T38" fmla="*/ 1246 w 3787"/>
              <a:gd name="T39" fmla="*/ 254 h 3860"/>
              <a:gd name="T40" fmla="*/ 1012 w 3787"/>
              <a:gd name="T41" fmla="*/ 400 h 3860"/>
              <a:gd name="T42" fmla="*/ 655 w 3787"/>
              <a:gd name="T43" fmla="*/ 738 h 3860"/>
              <a:gd name="T44" fmla="*/ 383 w 3787"/>
              <a:gd name="T45" fmla="*/ 1190 h 3860"/>
              <a:gd name="T46" fmla="*/ 250 w 3787"/>
              <a:gd name="T47" fmla="*/ 1696 h 3860"/>
              <a:gd name="T48" fmla="*/ 245 w 3787"/>
              <a:gd name="T49" fmla="*/ 2046 h 3860"/>
              <a:gd name="T50" fmla="*/ 289 w 3787"/>
              <a:gd name="T51" fmla="*/ 2309 h 3860"/>
              <a:gd name="T52" fmla="*/ 376 w 3787"/>
              <a:gd name="T53" fmla="*/ 2569 h 3860"/>
              <a:gd name="T54" fmla="*/ 480 w 3787"/>
              <a:gd name="T55" fmla="*/ 2775 h 3860"/>
              <a:gd name="T56" fmla="*/ 637 w 3787"/>
              <a:gd name="T57" fmla="*/ 2998 h 3860"/>
              <a:gd name="T58" fmla="*/ 823 w 3787"/>
              <a:gd name="T59" fmla="*/ 3191 h 3860"/>
              <a:gd name="T60" fmla="*/ 1228 w 3787"/>
              <a:gd name="T61" fmla="*/ 3464 h 3860"/>
              <a:gd name="T62" fmla="*/ 1730 w 3787"/>
              <a:gd name="T63" fmla="*/ 3632 h 3860"/>
              <a:gd name="T64" fmla="*/ 2264 w 3787"/>
              <a:gd name="T65" fmla="*/ 3652 h 3860"/>
              <a:gd name="T66" fmla="*/ 2575 w 3787"/>
              <a:gd name="T67" fmla="*/ 3593 h 3860"/>
              <a:gd name="T68" fmla="*/ 2833 w 3787"/>
              <a:gd name="T69" fmla="*/ 3497 h 3860"/>
              <a:gd name="T70" fmla="*/ 3140 w 3787"/>
              <a:gd name="T71" fmla="*/ 3319 h 3860"/>
              <a:gd name="T72" fmla="*/ 3464 w 3787"/>
              <a:gd name="T73" fmla="*/ 3013 h 3860"/>
              <a:gd name="T74" fmla="*/ 3696 w 3787"/>
              <a:gd name="T75" fmla="*/ 2643 h 3860"/>
              <a:gd name="T76" fmla="*/ 3777 w 3787"/>
              <a:gd name="T77" fmla="*/ 2436 h 3860"/>
              <a:gd name="T78" fmla="*/ 3787 w 3787"/>
              <a:gd name="T79" fmla="*/ 2449 h 3860"/>
              <a:gd name="T80" fmla="*/ 3728 w 3787"/>
              <a:gd name="T81" fmla="*/ 2654 h 3860"/>
              <a:gd name="T82" fmla="*/ 3520 w 3787"/>
              <a:gd name="T83" fmla="*/ 3031 h 3860"/>
              <a:gd name="T84" fmla="*/ 3159 w 3787"/>
              <a:gd name="T85" fmla="*/ 3418 h 3860"/>
              <a:gd name="T86" fmla="*/ 2778 w 3787"/>
              <a:gd name="T87" fmla="*/ 3665 h 3860"/>
              <a:gd name="T88" fmla="*/ 2504 w 3787"/>
              <a:gd name="T89" fmla="*/ 3773 h 3860"/>
              <a:gd name="T90" fmla="*/ 2224 w 3787"/>
              <a:gd name="T91" fmla="*/ 3838 h 3860"/>
              <a:gd name="T92" fmla="*/ 1942 w 3787"/>
              <a:gd name="T93" fmla="*/ 3860 h 3860"/>
              <a:gd name="T94" fmla="*/ 1664 w 3787"/>
              <a:gd name="T95" fmla="*/ 3842 h 3860"/>
              <a:gd name="T96" fmla="*/ 1392 w 3787"/>
              <a:gd name="T97" fmla="*/ 3784 h 3860"/>
              <a:gd name="T98" fmla="*/ 1047 w 3787"/>
              <a:gd name="T99" fmla="*/ 3646 h 3860"/>
              <a:gd name="T100" fmla="*/ 810 w 3787"/>
              <a:gd name="T101" fmla="*/ 3503 h 3860"/>
              <a:gd name="T102" fmla="*/ 593 w 3787"/>
              <a:gd name="T103" fmla="*/ 3322 h 3860"/>
              <a:gd name="T104" fmla="*/ 403 w 3787"/>
              <a:gd name="T105" fmla="*/ 3110 h 3860"/>
              <a:gd name="T106" fmla="*/ 243 w 3787"/>
              <a:gd name="T107" fmla="*/ 2867 h 38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787" h="3860">
                <a:moveTo>
                  <a:pt x="197" y="2779"/>
                </a:moveTo>
                <a:lnTo>
                  <a:pt x="197" y="2779"/>
                </a:lnTo>
                <a:lnTo>
                  <a:pt x="175" y="2733"/>
                </a:lnTo>
                <a:lnTo>
                  <a:pt x="155" y="2689"/>
                </a:lnTo>
                <a:lnTo>
                  <a:pt x="136" y="2643"/>
                </a:lnTo>
                <a:lnTo>
                  <a:pt x="118" y="2597"/>
                </a:lnTo>
                <a:lnTo>
                  <a:pt x="101" y="2551"/>
                </a:lnTo>
                <a:lnTo>
                  <a:pt x="87" y="2505"/>
                </a:lnTo>
                <a:lnTo>
                  <a:pt x="74" y="2459"/>
                </a:lnTo>
                <a:lnTo>
                  <a:pt x="61" y="2413"/>
                </a:lnTo>
                <a:lnTo>
                  <a:pt x="50" y="2365"/>
                </a:lnTo>
                <a:lnTo>
                  <a:pt x="39" y="2319"/>
                </a:lnTo>
                <a:lnTo>
                  <a:pt x="29" y="2273"/>
                </a:lnTo>
                <a:lnTo>
                  <a:pt x="22" y="2225"/>
                </a:lnTo>
                <a:lnTo>
                  <a:pt x="15" y="2179"/>
                </a:lnTo>
                <a:lnTo>
                  <a:pt x="9" y="2131"/>
                </a:lnTo>
                <a:lnTo>
                  <a:pt x="6" y="2085"/>
                </a:lnTo>
                <a:lnTo>
                  <a:pt x="2" y="2037"/>
                </a:lnTo>
                <a:lnTo>
                  <a:pt x="0" y="1991"/>
                </a:lnTo>
                <a:lnTo>
                  <a:pt x="0" y="1943"/>
                </a:lnTo>
                <a:lnTo>
                  <a:pt x="0" y="1897"/>
                </a:lnTo>
                <a:lnTo>
                  <a:pt x="2" y="1851"/>
                </a:lnTo>
                <a:lnTo>
                  <a:pt x="4" y="1803"/>
                </a:lnTo>
                <a:lnTo>
                  <a:pt x="7" y="1757"/>
                </a:lnTo>
                <a:lnTo>
                  <a:pt x="13" y="1711"/>
                </a:lnTo>
                <a:lnTo>
                  <a:pt x="18" y="1665"/>
                </a:lnTo>
                <a:lnTo>
                  <a:pt x="26" y="1619"/>
                </a:lnTo>
                <a:lnTo>
                  <a:pt x="33" y="1573"/>
                </a:lnTo>
                <a:lnTo>
                  <a:pt x="42" y="1527"/>
                </a:lnTo>
                <a:lnTo>
                  <a:pt x="52" y="1482"/>
                </a:lnTo>
                <a:lnTo>
                  <a:pt x="64" y="1436"/>
                </a:lnTo>
                <a:lnTo>
                  <a:pt x="75" y="1392"/>
                </a:lnTo>
                <a:lnTo>
                  <a:pt x="105" y="1304"/>
                </a:lnTo>
                <a:lnTo>
                  <a:pt x="136" y="1217"/>
                </a:lnTo>
                <a:lnTo>
                  <a:pt x="155" y="1175"/>
                </a:lnTo>
                <a:lnTo>
                  <a:pt x="173" y="1133"/>
                </a:lnTo>
                <a:lnTo>
                  <a:pt x="191" y="1090"/>
                </a:lnTo>
                <a:lnTo>
                  <a:pt x="214" y="1048"/>
                </a:lnTo>
                <a:lnTo>
                  <a:pt x="234" y="1007"/>
                </a:lnTo>
                <a:lnTo>
                  <a:pt x="258" y="967"/>
                </a:lnTo>
                <a:lnTo>
                  <a:pt x="280" y="926"/>
                </a:lnTo>
                <a:lnTo>
                  <a:pt x="306" y="888"/>
                </a:lnTo>
                <a:lnTo>
                  <a:pt x="331" y="849"/>
                </a:lnTo>
                <a:lnTo>
                  <a:pt x="357" y="810"/>
                </a:lnTo>
                <a:lnTo>
                  <a:pt x="385" y="772"/>
                </a:lnTo>
                <a:lnTo>
                  <a:pt x="414" y="735"/>
                </a:lnTo>
                <a:lnTo>
                  <a:pt x="444" y="698"/>
                </a:lnTo>
                <a:lnTo>
                  <a:pt x="473" y="663"/>
                </a:lnTo>
                <a:lnTo>
                  <a:pt x="504" y="628"/>
                </a:lnTo>
                <a:lnTo>
                  <a:pt x="538" y="593"/>
                </a:lnTo>
                <a:lnTo>
                  <a:pt x="571" y="560"/>
                </a:lnTo>
                <a:lnTo>
                  <a:pt x="604" y="527"/>
                </a:lnTo>
                <a:lnTo>
                  <a:pt x="639" y="494"/>
                </a:lnTo>
                <a:lnTo>
                  <a:pt x="674" y="462"/>
                </a:lnTo>
                <a:lnTo>
                  <a:pt x="711" y="433"/>
                </a:lnTo>
                <a:lnTo>
                  <a:pt x="749" y="403"/>
                </a:lnTo>
                <a:lnTo>
                  <a:pt x="788" y="374"/>
                </a:lnTo>
                <a:lnTo>
                  <a:pt x="827" y="346"/>
                </a:lnTo>
                <a:lnTo>
                  <a:pt x="867" y="319"/>
                </a:lnTo>
                <a:lnTo>
                  <a:pt x="908" y="293"/>
                </a:lnTo>
                <a:lnTo>
                  <a:pt x="950" y="267"/>
                </a:lnTo>
                <a:lnTo>
                  <a:pt x="992" y="243"/>
                </a:lnTo>
                <a:lnTo>
                  <a:pt x="1036" y="219"/>
                </a:lnTo>
                <a:lnTo>
                  <a:pt x="1081" y="197"/>
                </a:lnTo>
                <a:lnTo>
                  <a:pt x="1081" y="197"/>
                </a:lnTo>
                <a:lnTo>
                  <a:pt x="1139" y="169"/>
                </a:lnTo>
                <a:lnTo>
                  <a:pt x="1200" y="144"/>
                </a:lnTo>
                <a:lnTo>
                  <a:pt x="1259" y="120"/>
                </a:lnTo>
                <a:lnTo>
                  <a:pt x="1320" y="99"/>
                </a:lnTo>
                <a:lnTo>
                  <a:pt x="1381" y="79"/>
                </a:lnTo>
                <a:lnTo>
                  <a:pt x="1441" y="63"/>
                </a:lnTo>
                <a:lnTo>
                  <a:pt x="1502" y="48"/>
                </a:lnTo>
                <a:lnTo>
                  <a:pt x="1563" y="35"/>
                </a:lnTo>
                <a:lnTo>
                  <a:pt x="1624" y="24"/>
                </a:lnTo>
                <a:lnTo>
                  <a:pt x="1686" y="15"/>
                </a:lnTo>
                <a:lnTo>
                  <a:pt x="1747" y="9"/>
                </a:lnTo>
                <a:lnTo>
                  <a:pt x="1810" y="4"/>
                </a:lnTo>
                <a:lnTo>
                  <a:pt x="1870" y="0"/>
                </a:lnTo>
                <a:lnTo>
                  <a:pt x="1931" y="0"/>
                </a:lnTo>
                <a:lnTo>
                  <a:pt x="1992" y="2"/>
                </a:lnTo>
                <a:lnTo>
                  <a:pt x="2054" y="4"/>
                </a:lnTo>
                <a:lnTo>
                  <a:pt x="2054" y="4"/>
                </a:lnTo>
                <a:lnTo>
                  <a:pt x="2132" y="11"/>
                </a:lnTo>
                <a:lnTo>
                  <a:pt x="2213" y="22"/>
                </a:lnTo>
                <a:lnTo>
                  <a:pt x="2296" y="39"/>
                </a:lnTo>
                <a:lnTo>
                  <a:pt x="2377" y="57"/>
                </a:lnTo>
                <a:lnTo>
                  <a:pt x="2377" y="57"/>
                </a:lnTo>
                <a:lnTo>
                  <a:pt x="2386" y="59"/>
                </a:lnTo>
                <a:lnTo>
                  <a:pt x="2391" y="63"/>
                </a:lnTo>
                <a:lnTo>
                  <a:pt x="2397" y="68"/>
                </a:lnTo>
                <a:lnTo>
                  <a:pt x="2397" y="72"/>
                </a:lnTo>
                <a:lnTo>
                  <a:pt x="2397" y="76"/>
                </a:lnTo>
                <a:lnTo>
                  <a:pt x="2391" y="77"/>
                </a:lnTo>
                <a:lnTo>
                  <a:pt x="2384" y="79"/>
                </a:lnTo>
                <a:lnTo>
                  <a:pt x="2375" y="79"/>
                </a:lnTo>
                <a:lnTo>
                  <a:pt x="2375" y="79"/>
                </a:lnTo>
                <a:lnTo>
                  <a:pt x="2292" y="66"/>
                </a:lnTo>
                <a:lnTo>
                  <a:pt x="2209" y="57"/>
                </a:lnTo>
                <a:lnTo>
                  <a:pt x="2128" y="50"/>
                </a:lnTo>
                <a:lnTo>
                  <a:pt x="2089" y="50"/>
                </a:lnTo>
                <a:lnTo>
                  <a:pt x="2053" y="50"/>
                </a:lnTo>
                <a:lnTo>
                  <a:pt x="2053" y="50"/>
                </a:lnTo>
                <a:lnTo>
                  <a:pt x="2005" y="50"/>
                </a:lnTo>
                <a:lnTo>
                  <a:pt x="1957" y="53"/>
                </a:lnTo>
                <a:lnTo>
                  <a:pt x="1909" y="57"/>
                </a:lnTo>
                <a:lnTo>
                  <a:pt x="1859" y="63"/>
                </a:lnTo>
                <a:lnTo>
                  <a:pt x="1811" y="68"/>
                </a:lnTo>
                <a:lnTo>
                  <a:pt x="1764" y="77"/>
                </a:lnTo>
                <a:lnTo>
                  <a:pt x="1716" y="87"/>
                </a:lnTo>
                <a:lnTo>
                  <a:pt x="1668" y="98"/>
                </a:lnTo>
                <a:lnTo>
                  <a:pt x="1618" y="109"/>
                </a:lnTo>
                <a:lnTo>
                  <a:pt x="1570" y="123"/>
                </a:lnTo>
                <a:lnTo>
                  <a:pt x="1524" y="138"/>
                </a:lnTo>
                <a:lnTo>
                  <a:pt x="1476" y="153"/>
                </a:lnTo>
                <a:lnTo>
                  <a:pt x="1428" y="171"/>
                </a:lnTo>
                <a:lnTo>
                  <a:pt x="1382" y="190"/>
                </a:lnTo>
                <a:lnTo>
                  <a:pt x="1335" y="212"/>
                </a:lnTo>
                <a:lnTo>
                  <a:pt x="1289" y="232"/>
                </a:lnTo>
                <a:lnTo>
                  <a:pt x="1289" y="232"/>
                </a:lnTo>
                <a:lnTo>
                  <a:pt x="1246" y="254"/>
                </a:lnTo>
                <a:lnTo>
                  <a:pt x="1206" y="276"/>
                </a:lnTo>
                <a:lnTo>
                  <a:pt x="1165" y="298"/>
                </a:lnTo>
                <a:lnTo>
                  <a:pt x="1127" y="322"/>
                </a:lnTo>
                <a:lnTo>
                  <a:pt x="1088" y="346"/>
                </a:lnTo>
                <a:lnTo>
                  <a:pt x="1049" y="372"/>
                </a:lnTo>
                <a:lnTo>
                  <a:pt x="1012" y="400"/>
                </a:lnTo>
                <a:lnTo>
                  <a:pt x="976" y="425"/>
                </a:lnTo>
                <a:lnTo>
                  <a:pt x="906" y="483"/>
                </a:lnTo>
                <a:lnTo>
                  <a:pt x="838" y="541"/>
                </a:lnTo>
                <a:lnTo>
                  <a:pt x="773" y="604"/>
                </a:lnTo>
                <a:lnTo>
                  <a:pt x="712" y="670"/>
                </a:lnTo>
                <a:lnTo>
                  <a:pt x="655" y="738"/>
                </a:lnTo>
                <a:lnTo>
                  <a:pt x="600" y="808"/>
                </a:lnTo>
                <a:lnTo>
                  <a:pt x="550" y="880"/>
                </a:lnTo>
                <a:lnTo>
                  <a:pt x="503" y="956"/>
                </a:lnTo>
                <a:lnTo>
                  <a:pt x="458" y="1031"/>
                </a:lnTo>
                <a:lnTo>
                  <a:pt x="420" y="1110"/>
                </a:lnTo>
                <a:lnTo>
                  <a:pt x="383" y="1190"/>
                </a:lnTo>
                <a:lnTo>
                  <a:pt x="352" y="1271"/>
                </a:lnTo>
                <a:lnTo>
                  <a:pt x="322" y="1354"/>
                </a:lnTo>
                <a:lnTo>
                  <a:pt x="298" y="1438"/>
                </a:lnTo>
                <a:lnTo>
                  <a:pt x="278" y="1523"/>
                </a:lnTo>
                <a:lnTo>
                  <a:pt x="261" y="1610"/>
                </a:lnTo>
                <a:lnTo>
                  <a:pt x="250" y="1696"/>
                </a:lnTo>
                <a:lnTo>
                  <a:pt x="243" y="1783"/>
                </a:lnTo>
                <a:lnTo>
                  <a:pt x="239" y="1871"/>
                </a:lnTo>
                <a:lnTo>
                  <a:pt x="239" y="1915"/>
                </a:lnTo>
                <a:lnTo>
                  <a:pt x="239" y="1959"/>
                </a:lnTo>
                <a:lnTo>
                  <a:pt x="241" y="2002"/>
                </a:lnTo>
                <a:lnTo>
                  <a:pt x="245" y="2046"/>
                </a:lnTo>
                <a:lnTo>
                  <a:pt x="250" y="2090"/>
                </a:lnTo>
                <a:lnTo>
                  <a:pt x="256" y="2134"/>
                </a:lnTo>
                <a:lnTo>
                  <a:pt x="261" y="2179"/>
                </a:lnTo>
                <a:lnTo>
                  <a:pt x="269" y="2223"/>
                </a:lnTo>
                <a:lnTo>
                  <a:pt x="278" y="2267"/>
                </a:lnTo>
                <a:lnTo>
                  <a:pt x="289" y="2309"/>
                </a:lnTo>
                <a:lnTo>
                  <a:pt x="300" y="2354"/>
                </a:lnTo>
                <a:lnTo>
                  <a:pt x="313" y="2396"/>
                </a:lnTo>
                <a:lnTo>
                  <a:pt x="326" y="2440"/>
                </a:lnTo>
                <a:lnTo>
                  <a:pt x="342" y="2482"/>
                </a:lnTo>
                <a:lnTo>
                  <a:pt x="357" y="2527"/>
                </a:lnTo>
                <a:lnTo>
                  <a:pt x="376" y="2569"/>
                </a:lnTo>
                <a:lnTo>
                  <a:pt x="394" y="2611"/>
                </a:lnTo>
                <a:lnTo>
                  <a:pt x="414" y="2654"/>
                </a:lnTo>
                <a:lnTo>
                  <a:pt x="414" y="2654"/>
                </a:lnTo>
                <a:lnTo>
                  <a:pt x="434" y="2694"/>
                </a:lnTo>
                <a:lnTo>
                  <a:pt x="457" y="2735"/>
                </a:lnTo>
                <a:lnTo>
                  <a:pt x="480" y="2775"/>
                </a:lnTo>
                <a:lnTo>
                  <a:pt x="504" y="2814"/>
                </a:lnTo>
                <a:lnTo>
                  <a:pt x="528" y="2853"/>
                </a:lnTo>
                <a:lnTo>
                  <a:pt x="554" y="2891"/>
                </a:lnTo>
                <a:lnTo>
                  <a:pt x="582" y="2928"/>
                </a:lnTo>
                <a:lnTo>
                  <a:pt x="609" y="2963"/>
                </a:lnTo>
                <a:lnTo>
                  <a:pt x="637" y="2998"/>
                </a:lnTo>
                <a:lnTo>
                  <a:pt x="666" y="3033"/>
                </a:lnTo>
                <a:lnTo>
                  <a:pt x="696" y="3066"/>
                </a:lnTo>
                <a:lnTo>
                  <a:pt x="727" y="3099"/>
                </a:lnTo>
                <a:lnTo>
                  <a:pt x="758" y="3131"/>
                </a:lnTo>
                <a:lnTo>
                  <a:pt x="792" y="3162"/>
                </a:lnTo>
                <a:lnTo>
                  <a:pt x="823" y="3191"/>
                </a:lnTo>
                <a:lnTo>
                  <a:pt x="858" y="3221"/>
                </a:lnTo>
                <a:lnTo>
                  <a:pt x="926" y="3278"/>
                </a:lnTo>
                <a:lnTo>
                  <a:pt x="998" y="3330"/>
                </a:lnTo>
                <a:lnTo>
                  <a:pt x="1073" y="3378"/>
                </a:lnTo>
                <a:lnTo>
                  <a:pt x="1149" y="3424"/>
                </a:lnTo>
                <a:lnTo>
                  <a:pt x="1228" y="3464"/>
                </a:lnTo>
                <a:lnTo>
                  <a:pt x="1309" y="3503"/>
                </a:lnTo>
                <a:lnTo>
                  <a:pt x="1390" y="3536"/>
                </a:lnTo>
                <a:lnTo>
                  <a:pt x="1473" y="3565"/>
                </a:lnTo>
                <a:lnTo>
                  <a:pt x="1557" y="3591"/>
                </a:lnTo>
                <a:lnTo>
                  <a:pt x="1644" y="3613"/>
                </a:lnTo>
                <a:lnTo>
                  <a:pt x="1730" y="3632"/>
                </a:lnTo>
                <a:lnTo>
                  <a:pt x="1819" y="3646"/>
                </a:lnTo>
                <a:lnTo>
                  <a:pt x="1907" y="3656"/>
                </a:lnTo>
                <a:lnTo>
                  <a:pt x="1995" y="3661"/>
                </a:lnTo>
                <a:lnTo>
                  <a:pt x="2086" y="3663"/>
                </a:lnTo>
                <a:lnTo>
                  <a:pt x="2174" y="3659"/>
                </a:lnTo>
                <a:lnTo>
                  <a:pt x="2264" y="3652"/>
                </a:lnTo>
                <a:lnTo>
                  <a:pt x="2354" y="3641"/>
                </a:lnTo>
                <a:lnTo>
                  <a:pt x="2399" y="3633"/>
                </a:lnTo>
                <a:lnTo>
                  <a:pt x="2443" y="3626"/>
                </a:lnTo>
                <a:lnTo>
                  <a:pt x="2487" y="3615"/>
                </a:lnTo>
                <a:lnTo>
                  <a:pt x="2531" y="3604"/>
                </a:lnTo>
                <a:lnTo>
                  <a:pt x="2575" y="3593"/>
                </a:lnTo>
                <a:lnTo>
                  <a:pt x="2618" y="3580"/>
                </a:lnTo>
                <a:lnTo>
                  <a:pt x="2662" y="3565"/>
                </a:lnTo>
                <a:lnTo>
                  <a:pt x="2706" y="3551"/>
                </a:lnTo>
                <a:lnTo>
                  <a:pt x="2748" y="3534"/>
                </a:lnTo>
                <a:lnTo>
                  <a:pt x="2791" y="3516"/>
                </a:lnTo>
                <a:lnTo>
                  <a:pt x="2833" y="3497"/>
                </a:lnTo>
                <a:lnTo>
                  <a:pt x="2875" y="3477"/>
                </a:lnTo>
                <a:lnTo>
                  <a:pt x="2875" y="3477"/>
                </a:lnTo>
                <a:lnTo>
                  <a:pt x="2945" y="3442"/>
                </a:lnTo>
                <a:lnTo>
                  <a:pt x="3012" y="3403"/>
                </a:lnTo>
                <a:lnTo>
                  <a:pt x="3078" y="3363"/>
                </a:lnTo>
                <a:lnTo>
                  <a:pt x="3140" y="3319"/>
                </a:lnTo>
                <a:lnTo>
                  <a:pt x="3201" y="3274"/>
                </a:lnTo>
                <a:lnTo>
                  <a:pt x="3258" y="3226"/>
                </a:lnTo>
                <a:lnTo>
                  <a:pt x="3314" y="3175"/>
                </a:lnTo>
                <a:lnTo>
                  <a:pt x="3367" y="3123"/>
                </a:lnTo>
                <a:lnTo>
                  <a:pt x="3417" y="3070"/>
                </a:lnTo>
                <a:lnTo>
                  <a:pt x="3464" y="3013"/>
                </a:lnTo>
                <a:lnTo>
                  <a:pt x="3510" y="2956"/>
                </a:lnTo>
                <a:lnTo>
                  <a:pt x="3553" y="2895"/>
                </a:lnTo>
                <a:lnTo>
                  <a:pt x="3593" y="2834"/>
                </a:lnTo>
                <a:lnTo>
                  <a:pt x="3630" y="2772"/>
                </a:lnTo>
                <a:lnTo>
                  <a:pt x="3665" y="2707"/>
                </a:lnTo>
                <a:lnTo>
                  <a:pt x="3696" y="2643"/>
                </a:lnTo>
                <a:lnTo>
                  <a:pt x="3696" y="2643"/>
                </a:lnTo>
                <a:lnTo>
                  <a:pt x="3713" y="2606"/>
                </a:lnTo>
                <a:lnTo>
                  <a:pt x="3728" y="2564"/>
                </a:lnTo>
                <a:lnTo>
                  <a:pt x="3757" y="2486"/>
                </a:lnTo>
                <a:lnTo>
                  <a:pt x="3768" y="2455"/>
                </a:lnTo>
                <a:lnTo>
                  <a:pt x="3777" y="2436"/>
                </a:lnTo>
                <a:lnTo>
                  <a:pt x="3781" y="2433"/>
                </a:lnTo>
                <a:lnTo>
                  <a:pt x="3783" y="2433"/>
                </a:lnTo>
                <a:lnTo>
                  <a:pt x="3785" y="2433"/>
                </a:lnTo>
                <a:lnTo>
                  <a:pt x="3787" y="2438"/>
                </a:lnTo>
                <a:lnTo>
                  <a:pt x="3787" y="2449"/>
                </a:lnTo>
                <a:lnTo>
                  <a:pt x="3787" y="2449"/>
                </a:lnTo>
                <a:lnTo>
                  <a:pt x="3785" y="2468"/>
                </a:lnTo>
                <a:lnTo>
                  <a:pt x="3777" y="2506"/>
                </a:lnTo>
                <a:lnTo>
                  <a:pt x="3770" y="2534"/>
                </a:lnTo>
                <a:lnTo>
                  <a:pt x="3759" y="2567"/>
                </a:lnTo>
                <a:lnTo>
                  <a:pt x="3746" y="2608"/>
                </a:lnTo>
                <a:lnTo>
                  <a:pt x="3728" y="2654"/>
                </a:lnTo>
                <a:lnTo>
                  <a:pt x="3728" y="2654"/>
                </a:lnTo>
                <a:lnTo>
                  <a:pt x="3693" y="2733"/>
                </a:lnTo>
                <a:lnTo>
                  <a:pt x="3654" y="2810"/>
                </a:lnTo>
                <a:lnTo>
                  <a:pt x="3614" y="2886"/>
                </a:lnTo>
                <a:lnTo>
                  <a:pt x="3568" y="2959"/>
                </a:lnTo>
                <a:lnTo>
                  <a:pt x="3520" y="3031"/>
                </a:lnTo>
                <a:lnTo>
                  <a:pt x="3468" y="3103"/>
                </a:lnTo>
                <a:lnTo>
                  <a:pt x="3413" y="3171"/>
                </a:lnTo>
                <a:lnTo>
                  <a:pt x="3354" y="3236"/>
                </a:lnTo>
                <a:lnTo>
                  <a:pt x="3291" y="3300"/>
                </a:lnTo>
                <a:lnTo>
                  <a:pt x="3227" y="3361"/>
                </a:lnTo>
                <a:lnTo>
                  <a:pt x="3159" y="3418"/>
                </a:lnTo>
                <a:lnTo>
                  <a:pt x="3089" y="3473"/>
                </a:lnTo>
                <a:lnTo>
                  <a:pt x="3015" y="3527"/>
                </a:lnTo>
                <a:lnTo>
                  <a:pt x="2938" y="3576"/>
                </a:lnTo>
                <a:lnTo>
                  <a:pt x="2859" y="3621"/>
                </a:lnTo>
                <a:lnTo>
                  <a:pt x="2778" y="3665"/>
                </a:lnTo>
                <a:lnTo>
                  <a:pt x="2778" y="3665"/>
                </a:lnTo>
                <a:lnTo>
                  <a:pt x="2732" y="3685"/>
                </a:lnTo>
                <a:lnTo>
                  <a:pt x="2688" y="3705"/>
                </a:lnTo>
                <a:lnTo>
                  <a:pt x="2642" y="3724"/>
                </a:lnTo>
                <a:lnTo>
                  <a:pt x="2596" y="3742"/>
                </a:lnTo>
                <a:lnTo>
                  <a:pt x="2550" y="3759"/>
                </a:lnTo>
                <a:lnTo>
                  <a:pt x="2504" y="3773"/>
                </a:lnTo>
                <a:lnTo>
                  <a:pt x="2458" y="3786"/>
                </a:lnTo>
                <a:lnTo>
                  <a:pt x="2412" y="3799"/>
                </a:lnTo>
                <a:lnTo>
                  <a:pt x="2364" y="3810"/>
                </a:lnTo>
                <a:lnTo>
                  <a:pt x="2318" y="3821"/>
                </a:lnTo>
                <a:lnTo>
                  <a:pt x="2270" y="3831"/>
                </a:lnTo>
                <a:lnTo>
                  <a:pt x="2224" y="3838"/>
                </a:lnTo>
                <a:lnTo>
                  <a:pt x="2176" y="3845"/>
                </a:lnTo>
                <a:lnTo>
                  <a:pt x="2130" y="3851"/>
                </a:lnTo>
                <a:lnTo>
                  <a:pt x="2082" y="3854"/>
                </a:lnTo>
                <a:lnTo>
                  <a:pt x="2036" y="3858"/>
                </a:lnTo>
                <a:lnTo>
                  <a:pt x="1988" y="3860"/>
                </a:lnTo>
                <a:lnTo>
                  <a:pt x="1942" y="3860"/>
                </a:lnTo>
                <a:lnTo>
                  <a:pt x="1896" y="3860"/>
                </a:lnTo>
                <a:lnTo>
                  <a:pt x="1848" y="3858"/>
                </a:lnTo>
                <a:lnTo>
                  <a:pt x="1802" y="3856"/>
                </a:lnTo>
                <a:lnTo>
                  <a:pt x="1756" y="3853"/>
                </a:lnTo>
                <a:lnTo>
                  <a:pt x="1710" y="3847"/>
                </a:lnTo>
                <a:lnTo>
                  <a:pt x="1664" y="3842"/>
                </a:lnTo>
                <a:lnTo>
                  <a:pt x="1618" y="3834"/>
                </a:lnTo>
                <a:lnTo>
                  <a:pt x="1572" y="3827"/>
                </a:lnTo>
                <a:lnTo>
                  <a:pt x="1526" y="3818"/>
                </a:lnTo>
                <a:lnTo>
                  <a:pt x="1482" y="3808"/>
                </a:lnTo>
                <a:lnTo>
                  <a:pt x="1436" y="3796"/>
                </a:lnTo>
                <a:lnTo>
                  <a:pt x="1392" y="3784"/>
                </a:lnTo>
                <a:lnTo>
                  <a:pt x="1303" y="3755"/>
                </a:lnTo>
                <a:lnTo>
                  <a:pt x="1217" y="3724"/>
                </a:lnTo>
                <a:lnTo>
                  <a:pt x="1174" y="3705"/>
                </a:lnTo>
                <a:lnTo>
                  <a:pt x="1132" y="3687"/>
                </a:lnTo>
                <a:lnTo>
                  <a:pt x="1090" y="3668"/>
                </a:lnTo>
                <a:lnTo>
                  <a:pt x="1047" y="3646"/>
                </a:lnTo>
                <a:lnTo>
                  <a:pt x="1007" y="3626"/>
                </a:lnTo>
                <a:lnTo>
                  <a:pt x="966" y="3602"/>
                </a:lnTo>
                <a:lnTo>
                  <a:pt x="926" y="3580"/>
                </a:lnTo>
                <a:lnTo>
                  <a:pt x="887" y="3554"/>
                </a:lnTo>
                <a:lnTo>
                  <a:pt x="849" y="3529"/>
                </a:lnTo>
                <a:lnTo>
                  <a:pt x="810" y="3503"/>
                </a:lnTo>
                <a:lnTo>
                  <a:pt x="771" y="3475"/>
                </a:lnTo>
                <a:lnTo>
                  <a:pt x="734" y="3446"/>
                </a:lnTo>
                <a:lnTo>
                  <a:pt x="698" y="3416"/>
                </a:lnTo>
                <a:lnTo>
                  <a:pt x="663" y="3387"/>
                </a:lnTo>
                <a:lnTo>
                  <a:pt x="628" y="3355"/>
                </a:lnTo>
                <a:lnTo>
                  <a:pt x="593" y="3322"/>
                </a:lnTo>
                <a:lnTo>
                  <a:pt x="560" y="3289"/>
                </a:lnTo>
                <a:lnTo>
                  <a:pt x="526" y="3256"/>
                </a:lnTo>
                <a:lnTo>
                  <a:pt x="493" y="3221"/>
                </a:lnTo>
                <a:lnTo>
                  <a:pt x="462" y="3186"/>
                </a:lnTo>
                <a:lnTo>
                  <a:pt x="433" y="3149"/>
                </a:lnTo>
                <a:lnTo>
                  <a:pt x="403" y="3110"/>
                </a:lnTo>
                <a:lnTo>
                  <a:pt x="374" y="3072"/>
                </a:lnTo>
                <a:lnTo>
                  <a:pt x="346" y="3033"/>
                </a:lnTo>
                <a:lnTo>
                  <a:pt x="318" y="2993"/>
                </a:lnTo>
                <a:lnTo>
                  <a:pt x="293" y="2952"/>
                </a:lnTo>
                <a:lnTo>
                  <a:pt x="267" y="2910"/>
                </a:lnTo>
                <a:lnTo>
                  <a:pt x="243" y="2867"/>
                </a:lnTo>
                <a:lnTo>
                  <a:pt x="219" y="2823"/>
                </a:lnTo>
                <a:lnTo>
                  <a:pt x="197" y="2779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5" name="Freeform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blackGray">
          <a:xfrm>
            <a:off x="7318375" y="220726"/>
            <a:ext cx="491649" cy="501397"/>
          </a:xfrm>
          <a:custGeom>
            <a:avLst/>
            <a:gdLst>
              <a:gd name="T0" fmla="*/ 118 w 3787"/>
              <a:gd name="T1" fmla="*/ 2597 h 3860"/>
              <a:gd name="T2" fmla="*/ 39 w 3787"/>
              <a:gd name="T3" fmla="*/ 2319 h 3860"/>
              <a:gd name="T4" fmla="*/ 2 w 3787"/>
              <a:gd name="T5" fmla="*/ 2037 h 3860"/>
              <a:gd name="T6" fmla="*/ 7 w 3787"/>
              <a:gd name="T7" fmla="*/ 1757 h 3860"/>
              <a:gd name="T8" fmla="*/ 52 w 3787"/>
              <a:gd name="T9" fmla="*/ 1482 h 3860"/>
              <a:gd name="T10" fmla="*/ 173 w 3787"/>
              <a:gd name="T11" fmla="*/ 1133 h 3860"/>
              <a:gd name="T12" fmla="*/ 306 w 3787"/>
              <a:gd name="T13" fmla="*/ 888 h 3860"/>
              <a:gd name="T14" fmla="*/ 473 w 3787"/>
              <a:gd name="T15" fmla="*/ 663 h 3860"/>
              <a:gd name="T16" fmla="*/ 674 w 3787"/>
              <a:gd name="T17" fmla="*/ 462 h 3860"/>
              <a:gd name="T18" fmla="*/ 908 w 3787"/>
              <a:gd name="T19" fmla="*/ 293 h 3860"/>
              <a:gd name="T20" fmla="*/ 1139 w 3787"/>
              <a:gd name="T21" fmla="*/ 169 h 3860"/>
              <a:gd name="T22" fmla="*/ 1502 w 3787"/>
              <a:gd name="T23" fmla="*/ 48 h 3860"/>
              <a:gd name="T24" fmla="*/ 1870 w 3787"/>
              <a:gd name="T25" fmla="*/ 0 h 3860"/>
              <a:gd name="T26" fmla="*/ 2213 w 3787"/>
              <a:gd name="T27" fmla="*/ 22 h 3860"/>
              <a:gd name="T28" fmla="*/ 2397 w 3787"/>
              <a:gd name="T29" fmla="*/ 68 h 3860"/>
              <a:gd name="T30" fmla="*/ 2375 w 3787"/>
              <a:gd name="T31" fmla="*/ 79 h 3860"/>
              <a:gd name="T32" fmla="*/ 2053 w 3787"/>
              <a:gd name="T33" fmla="*/ 50 h 3860"/>
              <a:gd name="T34" fmla="*/ 1764 w 3787"/>
              <a:gd name="T35" fmla="*/ 77 h 3860"/>
              <a:gd name="T36" fmla="*/ 1476 w 3787"/>
              <a:gd name="T37" fmla="*/ 153 h 3860"/>
              <a:gd name="T38" fmla="*/ 1246 w 3787"/>
              <a:gd name="T39" fmla="*/ 254 h 3860"/>
              <a:gd name="T40" fmla="*/ 1012 w 3787"/>
              <a:gd name="T41" fmla="*/ 400 h 3860"/>
              <a:gd name="T42" fmla="*/ 655 w 3787"/>
              <a:gd name="T43" fmla="*/ 738 h 3860"/>
              <a:gd name="T44" fmla="*/ 383 w 3787"/>
              <a:gd name="T45" fmla="*/ 1190 h 3860"/>
              <a:gd name="T46" fmla="*/ 250 w 3787"/>
              <a:gd name="T47" fmla="*/ 1696 h 3860"/>
              <a:gd name="T48" fmla="*/ 245 w 3787"/>
              <a:gd name="T49" fmla="*/ 2046 h 3860"/>
              <a:gd name="T50" fmla="*/ 289 w 3787"/>
              <a:gd name="T51" fmla="*/ 2309 h 3860"/>
              <a:gd name="T52" fmla="*/ 376 w 3787"/>
              <a:gd name="T53" fmla="*/ 2569 h 3860"/>
              <a:gd name="T54" fmla="*/ 480 w 3787"/>
              <a:gd name="T55" fmla="*/ 2775 h 3860"/>
              <a:gd name="T56" fmla="*/ 637 w 3787"/>
              <a:gd name="T57" fmla="*/ 2998 h 3860"/>
              <a:gd name="T58" fmla="*/ 823 w 3787"/>
              <a:gd name="T59" fmla="*/ 3191 h 3860"/>
              <a:gd name="T60" fmla="*/ 1228 w 3787"/>
              <a:gd name="T61" fmla="*/ 3464 h 3860"/>
              <a:gd name="T62" fmla="*/ 1730 w 3787"/>
              <a:gd name="T63" fmla="*/ 3632 h 3860"/>
              <a:gd name="T64" fmla="*/ 2264 w 3787"/>
              <a:gd name="T65" fmla="*/ 3652 h 3860"/>
              <a:gd name="T66" fmla="*/ 2575 w 3787"/>
              <a:gd name="T67" fmla="*/ 3593 h 3860"/>
              <a:gd name="T68" fmla="*/ 2833 w 3787"/>
              <a:gd name="T69" fmla="*/ 3497 h 3860"/>
              <a:gd name="T70" fmla="*/ 3140 w 3787"/>
              <a:gd name="T71" fmla="*/ 3319 h 3860"/>
              <a:gd name="T72" fmla="*/ 3464 w 3787"/>
              <a:gd name="T73" fmla="*/ 3013 h 3860"/>
              <a:gd name="T74" fmla="*/ 3696 w 3787"/>
              <a:gd name="T75" fmla="*/ 2643 h 3860"/>
              <a:gd name="T76" fmla="*/ 3777 w 3787"/>
              <a:gd name="T77" fmla="*/ 2436 h 3860"/>
              <a:gd name="T78" fmla="*/ 3787 w 3787"/>
              <a:gd name="T79" fmla="*/ 2449 h 3860"/>
              <a:gd name="T80" fmla="*/ 3728 w 3787"/>
              <a:gd name="T81" fmla="*/ 2654 h 3860"/>
              <a:gd name="T82" fmla="*/ 3520 w 3787"/>
              <a:gd name="T83" fmla="*/ 3031 h 3860"/>
              <a:gd name="T84" fmla="*/ 3159 w 3787"/>
              <a:gd name="T85" fmla="*/ 3418 h 3860"/>
              <a:gd name="T86" fmla="*/ 2778 w 3787"/>
              <a:gd name="T87" fmla="*/ 3665 h 3860"/>
              <a:gd name="T88" fmla="*/ 2504 w 3787"/>
              <a:gd name="T89" fmla="*/ 3773 h 3860"/>
              <a:gd name="T90" fmla="*/ 2224 w 3787"/>
              <a:gd name="T91" fmla="*/ 3838 h 3860"/>
              <a:gd name="T92" fmla="*/ 1942 w 3787"/>
              <a:gd name="T93" fmla="*/ 3860 h 3860"/>
              <a:gd name="T94" fmla="*/ 1664 w 3787"/>
              <a:gd name="T95" fmla="*/ 3842 h 3860"/>
              <a:gd name="T96" fmla="*/ 1392 w 3787"/>
              <a:gd name="T97" fmla="*/ 3784 h 3860"/>
              <a:gd name="T98" fmla="*/ 1047 w 3787"/>
              <a:gd name="T99" fmla="*/ 3646 h 3860"/>
              <a:gd name="T100" fmla="*/ 810 w 3787"/>
              <a:gd name="T101" fmla="*/ 3503 h 3860"/>
              <a:gd name="T102" fmla="*/ 593 w 3787"/>
              <a:gd name="T103" fmla="*/ 3322 h 3860"/>
              <a:gd name="T104" fmla="*/ 403 w 3787"/>
              <a:gd name="T105" fmla="*/ 3110 h 3860"/>
              <a:gd name="T106" fmla="*/ 243 w 3787"/>
              <a:gd name="T107" fmla="*/ 2867 h 38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787" h="3860">
                <a:moveTo>
                  <a:pt x="197" y="2779"/>
                </a:moveTo>
                <a:lnTo>
                  <a:pt x="197" y="2779"/>
                </a:lnTo>
                <a:lnTo>
                  <a:pt x="175" y="2733"/>
                </a:lnTo>
                <a:lnTo>
                  <a:pt x="155" y="2689"/>
                </a:lnTo>
                <a:lnTo>
                  <a:pt x="136" y="2643"/>
                </a:lnTo>
                <a:lnTo>
                  <a:pt x="118" y="2597"/>
                </a:lnTo>
                <a:lnTo>
                  <a:pt x="101" y="2551"/>
                </a:lnTo>
                <a:lnTo>
                  <a:pt x="87" y="2505"/>
                </a:lnTo>
                <a:lnTo>
                  <a:pt x="74" y="2459"/>
                </a:lnTo>
                <a:lnTo>
                  <a:pt x="61" y="2413"/>
                </a:lnTo>
                <a:lnTo>
                  <a:pt x="50" y="2365"/>
                </a:lnTo>
                <a:lnTo>
                  <a:pt x="39" y="2319"/>
                </a:lnTo>
                <a:lnTo>
                  <a:pt x="29" y="2273"/>
                </a:lnTo>
                <a:lnTo>
                  <a:pt x="22" y="2225"/>
                </a:lnTo>
                <a:lnTo>
                  <a:pt x="15" y="2179"/>
                </a:lnTo>
                <a:lnTo>
                  <a:pt x="9" y="2131"/>
                </a:lnTo>
                <a:lnTo>
                  <a:pt x="6" y="2085"/>
                </a:lnTo>
                <a:lnTo>
                  <a:pt x="2" y="2037"/>
                </a:lnTo>
                <a:lnTo>
                  <a:pt x="0" y="1991"/>
                </a:lnTo>
                <a:lnTo>
                  <a:pt x="0" y="1943"/>
                </a:lnTo>
                <a:lnTo>
                  <a:pt x="0" y="1897"/>
                </a:lnTo>
                <a:lnTo>
                  <a:pt x="2" y="1851"/>
                </a:lnTo>
                <a:lnTo>
                  <a:pt x="4" y="1803"/>
                </a:lnTo>
                <a:lnTo>
                  <a:pt x="7" y="1757"/>
                </a:lnTo>
                <a:lnTo>
                  <a:pt x="13" y="1711"/>
                </a:lnTo>
                <a:lnTo>
                  <a:pt x="18" y="1665"/>
                </a:lnTo>
                <a:lnTo>
                  <a:pt x="26" y="1619"/>
                </a:lnTo>
                <a:lnTo>
                  <a:pt x="33" y="1573"/>
                </a:lnTo>
                <a:lnTo>
                  <a:pt x="42" y="1527"/>
                </a:lnTo>
                <a:lnTo>
                  <a:pt x="52" y="1482"/>
                </a:lnTo>
                <a:lnTo>
                  <a:pt x="64" y="1436"/>
                </a:lnTo>
                <a:lnTo>
                  <a:pt x="75" y="1392"/>
                </a:lnTo>
                <a:lnTo>
                  <a:pt x="105" y="1304"/>
                </a:lnTo>
                <a:lnTo>
                  <a:pt x="136" y="1217"/>
                </a:lnTo>
                <a:lnTo>
                  <a:pt x="155" y="1175"/>
                </a:lnTo>
                <a:lnTo>
                  <a:pt x="173" y="1133"/>
                </a:lnTo>
                <a:lnTo>
                  <a:pt x="191" y="1090"/>
                </a:lnTo>
                <a:lnTo>
                  <a:pt x="214" y="1048"/>
                </a:lnTo>
                <a:lnTo>
                  <a:pt x="234" y="1007"/>
                </a:lnTo>
                <a:lnTo>
                  <a:pt x="258" y="967"/>
                </a:lnTo>
                <a:lnTo>
                  <a:pt x="280" y="926"/>
                </a:lnTo>
                <a:lnTo>
                  <a:pt x="306" y="888"/>
                </a:lnTo>
                <a:lnTo>
                  <a:pt x="331" y="849"/>
                </a:lnTo>
                <a:lnTo>
                  <a:pt x="357" y="810"/>
                </a:lnTo>
                <a:lnTo>
                  <a:pt x="385" y="772"/>
                </a:lnTo>
                <a:lnTo>
                  <a:pt x="414" y="735"/>
                </a:lnTo>
                <a:lnTo>
                  <a:pt x="444" y="698"/>
                </a:lnTo>
                <a:lnTo>
                  <a:pt x="473" y="663"/>
                </a:lnTo>
                <a:lnTo>
                  <a:pt x="504" y="628"/>
                </a:lnTo>
                <a:lnTo>
                  <a:pt x="538" y="593"/>
                </a:lnTo>
                <a:lnTo>
                  <a:pt x="571" y="560"/>
                </a:lnTo>
                <a:lnTo>
                  <a:pt x="604" y="527"/>
                </a:lnTo>
                <a:lnTo>
                  <a:pt x="639" y="494"/>
                </a:lnTo>
                <a:lnTo>
                  <a:pt x="674" y="462"/>
                </a:lnTo>
                <a:lnTo>
                  <a:pt x="711" y="433"/>
                </a:lnTo>
                <a:lnTo>
                  <a:pt x="749" y="403"/>
                </a:lnTo>
                <a:lnTo>
                  <a:pt x="788" y="374"/>
                </a:lnTo>
                <a:lnTo>
                  <a:pt x="827" y="346"/>
                </a:lnTo>
                <a:lnTo>
                  <a:pt x="867" y="319"/>
                </a:lnTo>
                <a:lnTo>
                  <a:pt x="908" y="293"/>
                </a:lnTo>
                <a:lnTo>
                  <a:pt x="950" y="267"/>
                </a:lnTo>
                <a:lnTo>
                  <a:pt x="992" y="243"/>
                </a:lnTo>
                <a:lnTo>
                  <a:pt x="1036" y="219"/>
                </a:lnTo>
                <a:lnTo>
                  <a:pt x="1081" y="197"/>
                </a:lnTo>
                <a:lnTo>
                  <a:pt x="1081" y="197"/>
                </a:lnTo>
                <a:lnTo>
                  <a:pt x="1139" y="169"/>
                </a:lnTo>
                <a:lnTo>
                  <a:pt x="1200" y="144"/>
                </a:lnTo>
                <a:lnTo>
                  <a:pt x="1259" y="120"/>
                </a:lnTo>
                <a:lnTo>
                  <a:pt x="1320" y="99"/>
                </a:lnTo>
                <a:lnTo>
                  <a:pt x="1381" y="79"/>
                </a:lnTo>
                <a:lnTo>
                  <a:pt x="1441" y="63"/>
                </a:lnTo>
                <a:lnTo>
                  <a:pt x="1502" y="48"/>
                </a:lnTo>
                <a:lnTo>
                  <a:pt x="1563" y="35"/>
                </a:lnTo>
                <a:lnTo>
                  <a:pt x="1624" y="24"/>
                </a:lnTo>
                <a:lnTo>
                  <a:pt x="1686" y="15"/>
                </a:lnTo>
                <a:lnTo>
                  <a:pt x="1747" y="9"/>
                </a:lnTo>
                <a:lnTo>
                  <a:pt x="1810" y="4"/>
                </a:lnTo>
                <a:lnTo>
                  <a:pt x="1870" y="0"/>
                </a:lnTo>
                <a:lnTo>
                  <a:pt x="1931" y="0"/>
                </a:lnTo>
                <a:lnTo>
                  <a:pt x="1992" y="2"/>
                </a:lnTo>
                <a:lnTo>
                  <a:pt x="2054" y="4"/>
                </a:lnTo>
                <a:lnTo>
                  <a:pt x="2054" y="4"/>
                </a:lnTo>
                <a:lnTo>
                  <a:pt x="2132" y="11"/>
                </a:lnTo>
                <a:lnTo>
                  <a:pt x="2213" y="22"/>
                </a:lnTo>
                <a:lnTo>
                  <a:pt x="2296" y="39"/>
                </a:lnTo>
                <a:lnTo>
                  <a:pt x="2377" y="57"/>
                </a:lnTo>
                <a:lnTo>
                  <a:pt x="2377" y="57"/>
                </a:lnTo>
                <a:lnTo>
                  <a:pt x="2386" y="59"/>
                </a:lnTo>
                <a:lnTo>
                  <a:pt x="2391" y="63"/>
                </a:lnTo>
                <a:lnTo>
                  <a:pt x="2397" y="68"/>
                </a:lnTo>
                <a:lnTo>
                  <a:pt x="2397" y="72"/>
                </a:lnTo>
                <a:lnTo>
                  <a:pt x="2397" y="76"/>
                </a:lnTo>
                <a:lnTo>
                  <a:pt x="2391" y="77"/>
                </a:lnTo>
                <a:lnTo>
                  <a:pt x="2384" y="79"/>
                </a:lnTo>
                <a:lnTo>
                  <a:pt x="2375" y="79"/>
                </a:lnTo>
                <a:lnTo>
                  <a:pt x="2375" y="79"/>
                </a:lnTo>
                <a:lnTo>
                  <a:pt x="2292" y="66"/>
                </a:lnTo>
                <a:lnTo>
                  <a:pt x="2209" y="57"/>
                </a:lnTo>
                <a:lnTo>
                  <a:pt x="2128" y="50"/>
                </a:lnTo>
                <a:lnTo>
                  <a:pt x="2089" y="50"/>
                </a:lnTo>
                <a:lnTo>
                  <a:pt x="2053" y="50"/>
                </a:lnTo>
                <a:lnTo>
                  <a:pt x="2053" y="50"/>
                </a:lnTo>
                <a:lnTo>
                  <a:pt x="2005" y="50"/>
                </a:lnTo>
                <a:lnTo>
                  <a:pt x="1957" y="53"/>
                </a:lnTo>
                <a:lnTo>
                  <a:pt x="1909" y="57"/>
                </a:lnTo>
                <a:lnTo>
                  <a:pt x="1859" y="63"/>
                </a:lnTo>
                <a:lnTo>
                  <a:pt x="1811" y="68"/>
                </a:lnTo>
                <a:lnTo>
                  <a:pt x="1764" y="77"/>
                </a:lnTo>
                <a:lnTo>
                  <a:pt x="1716" y="87"/>
                </a:lnTo>
                <a:lnTo>
                  <a:pt x="1668" y="98"/>
                </a:lnTo>
                <a:lnTo>
                  <a:pt x="1618" y="109"/>
                </a:lnTo>
                <a:lnTo>
                  <a:pt x="1570" y="123"/>
                </a:lnTo>
                <a:lnTo>
                  <a:pt x="1524" y="138"/>
                </a:lnTo>
                <a:lnTo>
                  <a:pt x="1476" y="153"/>
                </a:lnTo>
                <a:lnTo>
                  <a:pt x="1428" y="171"/>
                </a:lnTo>
                <a:lnTo>
                  <a:pt x="1382" y="190"/>
                </a:lnTo>
                <a:lnTo>
                  <a:pt x="1335" y="212"/>
                </a:lnTo>
                <a:lnTo>
                  <a:pt x="1289" y="232"/>
                </a:lnTo>
                <a:lnTo>
                  <a:pt x="1289" y="232"/>
                </a:lnTo>
                <a:lnTo>
                  <a:pt x="1246" y="254"/>
                </a:lnTo>
                <a:lnTo>
                  <a:pt x="1206" y="276"/>
                </a:lnTo>
                <a:lnTo>
                  <a:pt x="1165" y="298"/>
                </a:lnTo>
                <a:lnTo>
                  <a:pt x="1127" y="322"/>
                </a:lnTo>
                <a:lnTo>
                  <a:pt x="1088" y="346"/>
                </a:lnTo>
                <a:lnTo>
                  <a:pt x="1049" y="372"/>
                </a:lnTo>
                <a:lnTo>
                  <a:pt x="1012" y="400"/>
                </a:lnTo>
                <a:lnTo>
                  <a:pt x="976" y="425"/>
                </a:lnTo>
                <a:lnTo>
                  <a:pt x="906" y="483"/>
                </a:lnTo>
                <a:lnTo>
                  <a:pt x="838" y="541"/>
                </a:lnTo>
                <a:lnTo>
                  <a:pt x="773" y="604"/>
                </a:lnTo>
                <a:lnTo>
                  <a:pt x="712" y="670"/>
                </a:lnTo>
                <a:lnTo>
                  <a:pt x="655" y="738"/>
                </a:lnTo>
                <a:lnTo>
                  <a:pt x="600" y="808"/>
                </a:lnTo>
                <a:lnTo>
                  <a:pt x="550" y="880"/>
                </a:lnTo>
                <a:lnTo>
                  <a:pt x="503" y="956"/>
                </a:lnTo>
                <a:lnTo>
                  <a:pt x="458" y="1031"/>
                </a:lnTo>
                <a:lnTo>
                  <a:pt x="420" y="1110"/>
                </a:lnTo>
                <a:lnTo>
                  <a:pt x="383" y="1190"/>
                </a:lnTo>
                <a:lnTo>
                  <a:pt x="352" y="1271"/>
                </a:lnTo>
                <a:lnTo>
                  <a:pt x="322" y="1354"/>
                </a:lnTo>
                <a:lnTo>
                  <a:pt x="298" y="1438"/>
                </a:lnTo>
                <a:lnTo>
                  <a:pt x="278" y="1523"/>
                </a:lnTo>
                <a:lnTo>
                  <a:pt x="261" y="1610"/>
                </a:lnTo>
                <a:lnTo>
                  <a:pt x="250" y="1696"/>
                </a:lnTo>
                <a:lnTo>
                  <a:pt x="243" y="1783"/>
                </a:lnTo>
                <a:lnTo>
                  <a:pt x="239" y="1871"/>
                </a:lnTo>
                <a:lnTo>
                  <a:pt x="239" y="1915"/>
                </a:lnTo>
                <a:lnTo>
                  <a:pt x="239" y="1959"/>
                </a:lnTo>
                <a:lnTo>
                  <a:pt x="241" y="2002"/>
                </a:lnTo>
                <a:lnTo>
                  <a:pt x="245" y="2046"/>
                </a:lnTo>
                <a:lnTo>
                  <a:pt x="250" y="2090"/>
                </a:lnTo>
                <a:lnTo>
                  <a:pt x="256" y="2134"/>
                </a:lnTo>
                <a:lnTo>
                  <a:pt x="261" y="2179"/>
                </a:lnTo>
                <a:lnTo>
                  <a:pt x="269" y="2223"/>
                </a:lnTo>
                <a:lnTo>
                  <a:pt x="278" y="2267"/>
                </a:lnTo>
                <a:lnTo>
                  <a:pt x="289" y="2309"/>
                </a:lnTo>
                <a:lnTo>
                  <a:pt x="300" y="2354"/>
                </a:lnTo>
                <a:lnTo>
                  <a:pt x="313" y="2396"/>
                </a:lnTo>
                <a:lnTo>
                  <a:pt x="326" y="2440"/>
                </a:lnTo>
                <a:lnTo>
                  <a:pt x="342" y="2482"/>
                </a:lnTo>
                <a:lnTo>
                  <a:pt x="357" y="2527"/>
                </a:lnTo>
                <a:lnTo>
                  <a:pt x="376" y="2569"/>
                </a:lnTo>
                <a:lnTo>
                  <a:pt x="394" y="2611"/>
                </a:lnTo>
                <a:lnTo>
                  <a:pt x="414" y="2654"/>
                </a:lnTo>
                <a:lnTo>
                  <a:pt x="414" y="2654"/>
                </a:lnTo>
                <a:lnTo>
                  <a:pt x="434" y="2694"/>
                </a:lnTo>
                <a:lnTo>
                  <a:pt x="457" y="2735"/>
                </a:lnTo>
                <a:lnTo>
                  <a:pt x="480" y="2775"/>
                </a:lnTo>
                <a:lnTo>
                  <a:pt x="504" y="2814"/>
                </a:lnTo>
                <a:lnTo>
                  <a:pt x="528" y="2853"/>
                </a:lnTo>
                <a:lnTo>
                  <a:pt x="554" y="2891"/>
                </a:lnTo>
                <a:lnTo>
                  <a:pt x="582" y="2928"/>
                </a:lnTo>
                <a:lnTo>
                  <a:pt x="609" y="2963"/>
                </a:lnTo>
                <a:lnTo>
                  <a:pt x="637" y="2998"/>
                </a:lnTo>
                <a:lnTo>
                  <a:pt x="666" y="3033"/>
                </a:lnTo>
                <a:lnTo>
                  <a:pt x="696" y="3066"/>
                </a:lnTo>
                <a:lnTo>
                  <a:pt x="727" y="3099"/>
                </a:lnTo>
                <a:lnTo>
                  <a:pt x="758" y="3131"/>
                </a:lnTo>
                <a:lnTo>
                  <a:pt x="792" y="3162"/>
                </a:lnTo>
                <a:lnTo>
                  <a:pt x="823" y="3191"/>
                </a:lnTo>
                <a:lnTo>
                  <a:pt x="858" y="3221"/>
                </a:lnTo>
                <a:lnTo>
                  <a:pt x="926" y="3278"/>
                </a:lnTo>
                <a:lnTo>
                  <a:pt x="998" y="3330"/>
                </a:lnTo>
                <a:lnTo>
                  <a:pt x="1073" y="3378"/>
                </a:lnTo>
                <a:lnTo>
                  <a:pt x="1149" y="3424"/>
                </a:lnTo>
                <a:lnTo>
                  <a:pt x="1228" y="3464"/>
                </a:lnTo>
                <a:lnTo>
                  <a:pt x="1309" y="3503"/>
                </a:lnTo>
                <a:lnTo>
                  <a:pt x="1390" y="3536"/>
                </a:lnTo>
                <a:lnTo>
                  <a:pt x="1473" y="3565"/>
                </a:lnTo>
                <a:lnTo>
                  <a:pt x="1557" y="3591"/>
                </a:lnTo>
                <a:lnTo>
                  <a:pt x="1644" y="3613"/>
                </a:lnTo>
                <a:lnTo>
                  <a:pt x="1730" y="3632"/>
                </a:lnTo>
                <a:lnTo>
                  <a:pt x="1819" y="3646"/>
                </a:lnTo>
                <a:lnTo>
                  <a:pt x="1907" y="3656"/>
                </a:lnTo>
                <a:lnTo>
                  <a:pt x="1995" y="3661"/>
                </a:lnTo>
                <a:lnTo>
                  <a:pt x="2086" y="3663"/>
                </a:lnTo>
                <a:lnTo>
                  <a:pt x="2174" y="3659"/>
                </a:lnTo>
                <a:lnTo>
                  <a:pt x="2264" y="3652"/>
                </a:lnTo>
                <a:lnTo>
                  <a:pt x="2354" y="3641"/>
                </a:lnTo>
                <a:lnTo>
                  <a:pt x="2399" y="3633"/>
                </a:lnTo>
                <a:lnTo>
                  <a:pt x="2443" y="3626"/>
                </a:lnTo>
                <a:lnTo>
                  <a:pt x="2487" y="3615"/>
                </a:lnTo>
                <a:lnTo>
                  <a:pt x="2531" y="3604"/>
                </a:lnTo>
                <a:lnTo>
                  <a:pt x="2575" y="3593"/>
                </a:lnTo>
                <a:lnTo>
                  <a:pt x="2618" y="3580"/>
                </a:lnTo>
                <a:lnTo>
                  <a:pt x="2662" y="3565"/>
                </a:lnTo>
                <a:lnTo>
                  <a:pt x="2706" y="3551"/>
                </a:lnTo>
                <a:lnTo>
                  <a:pt x="2748" y="3534"/>
                </a:lnTo>
                <a:lnTo>
                  <a:pt x="2791" y="3516"/>
                </a:lnTo>
                <a:lnTo>
                  <a:pt x="2833" y="3497"/>
                </a:lnTo>
                <a:lnTo>
                  <a:pt x="2875" y="3477"/>
                </a:lnTo>
                <a:lnTo>
                  <a:pt x="2875" y="3477"/>
                </a:lnTo>
                <a:lnTo>
                  <a:pt x="2945" y="3442"/>
                </a:lnTo>
                <a:lnTo>
                  <a:pt x="3012" y="3403"/>
                </a:lnTo>
                <a:lnTo>
                  <a:pt x="3078" y="3363"/>
                </a:lnTo>
                <a:lnTo>
                  <a:pt x="3140" y="3319"/>
                </a:lnTo>
                <a:lnTo>
                  <a:pt x="3201" y="3274"/>
                </a:lnTo>
                <a:lnTo>
                  <a:pt x="3258" y="3226"/>
                </a:lnTo>
                <a:lnTo>
                  <a:pt x="3314" y="3175"/>
                </a:lnTo>
                <a:lnTo>
                  <a:pt x="3367" y="3123"/>
                </a:lnTo>
                <a:lnTo>
                  <a:pt x="3417" y="3070"/>
                </a:lnTo>
                <a:lnTo>
                  <a:pt x="3464" y="3013"/>
                </a:lnTo>
                <a:lnTo>
                  <a:pt x="3510" y="2956"/>
                </a:lnTo>
                <a:lnTo>
                  <a:pt x="3553" y="2895"/>
                </a:lnTo>
                <a:lnTo>
                  <a:pt x="3593" y="2834"/>
                </a:lnTo>
                <a:lnTo>
                  <a:pt x="3630" y="2772"/>
                </a:lnTo>
                <a:lnTo>
                  <a:pt x="3665" y="2707"/>
                </a:lnTo>
                <a:lnTo>
                  <a:pt x="3696" y="2643"/>
                </a:lnTo>
                <a:lnTo>
                  <a:pt x="3696" y="2643"/>
                </a:lnTo>
                <a:lnTo>
                  <a:pt x="3713" y="2606"/>
                </a:lnTo>
                <a:lnTo>
                  <a:pt x="3728" y="2564"/>
                </a:lnTo>
                <a:lnTo>
                  <a:pt x="3757" y="2486"/>
                </a:lnTo>
                <a:lnTo>
                  <a:pt x="3768" y="2455"/>
                </a:lnTo>
                <a:lnTo>
                  <a:pt x="3777" y="2436"/>
                </a:lnTo>
                <a:lnTo>
                  <a:pt x="3781" y="2433"/>
                </a:lnTo>
                <a:lnTo>
                  <a:pt x="3783" y="2433"/>
                </a:lnTo>
                <a:lnTo>
                  <a:pt x="3785" y="2433"/>
                </a:lnTo>
                <a:lnTo>
                  <a:pt x="3787" y="2438"/>
                </a:lnTo>
                <a:lnTo>
                  <a:pt x="3787" y="2449"/>
                </a:lnTo>
                <a:lnTo>
                  <a:pt x="3787" y="2449"/>
                </a:lnTo>
                <a:lnTo>
                  <a:pt x="3785" y="2468"/>
                </a:lnTo>
                <a:lnTo>
                  <a:pt x="3777" y="2506"/>
                </a:lnTo>
                <a:lnTo>
                  <a:pt x="3770" y="2534"/>
                </a:lnTo>
                <a:lnTo>
                  <a:pt x="3759" y="2567"/>
                </a:lnTo>
                <a:lnTo>
                  <a:pt x="3746" y="2608"/>
                </a:lnTo>
                <a:lnTo>
                  <a:pt x="3728" y="2654"/>
                </a:lnTo>
                <a:lnTo>
                  <a:pt x="3728" y="2654"/>
                </a:lnTo>
                <a:lnTo>
                  <a:pt x="3693" y="2733"/>
                </a:lnTo>
                <a:lnTo>
                  <a:pt x="3654" y="2810"/>
                </a:lnTo>
                <a:lnTo>
                  <a:pt x="3614" y="2886"/>
                </a:lnTo>
                <a:lnTo>
                  <a:pt x="3568" y="2959"/>
                </a:lnTo>
                <a:lnTo>
                  <a:pt x="3520" y="3031"/>
                </a:lnTo>
                <a:lnTo>
                  <a:pt x="3468" y="3103"/>
                </a:lnTo>
                <a:lnTo>
                  <a:pt x="3413" y="3171"/>
                </a:lnTo>
                <a:lnTo>
                  <a:pt x="3354" y="3236"/>
                </a:lnTo>
                <a:lnTo>
                  <a:pt x="3291" y="3300"/>
                </a:lnTo>
                <a:lnTo>
                  <a:pt x="3227" y="3361"/>
                </a:lnTo>
                <a:lnTo>
                  <a:pt x="3159" y="3418"/>
                </a:lnTo>
                <a:lnTo>
                  <a:pt x="3089" y="3473"/>
                </a:lnTo>
                <a:lnTo>
                  <a:pt x="3015" y="3527"/>
                </a:lnTo>
                <a:lnTo>
                  <a:pt x="2938" y="3576"/>
                </a:lnTo>
                <a:lnTo>
                  <a:pt x="2859" y="3621"/>
                </a:lnTo>
                <a:lnTo>
                  <a:pt x="2778" y="3665"/>
                </a:lnTo>
                <a:lnTo>
                  <a:pt x="2778" y="3665"/>
                </a:lnTo>
                <a:lnTo>
                  <a:pt x="2732" y="3685"/>
                </a:lnTo>
                <a:lnTo>
                  <a:pt x="2688" y="3705"/>
                </a:lnTo>
                <a:lnTo>
                  <a:pt x="2642" y="3724"/>
                </a:lnTo>
                <a:lnTo>
                  <a:pt x="2596" y="3742"/>
                </a:lnTo>
                <a:lnTo>
                  <a:pt x="2550" y="3759"/>
                </a:lnTo>
                <a:lnTo>
                  <a:pt x="2504" y="3773"/>
                </a:lnTo>
                <a:lnTo>
                  <a:pt x="2458" y="3786"/>
                </a:lnTo>
                <a:lnTo>
                  <a:pt x="2412" y="3799"/>
                </a:lnTo>
                <a:lnTo>
                  <a:pt x="2364" y="3810"/>
                </a:lnTo>
                <a:lnTo>
                  <a:pt x="2318" y="3821"/>
                </a:lnTo>
                <a:lnTo>
                  <a:pt x="2270" y="3831"/>
                </a:lnTo>
                <a:lnTo>
                  <a:pt x="2224" y="3838"/>
                </a:lnTo>
                <a:lnTo>
                  <a:pt x="2176" y="3845"/>
                </a:lnTo>
                <a:lnTo>
                  <a:pt x="2130" y="3851"/>
                </a:lnTo>
                <a:lnTo>
                  <a:pt x="2082" y="3854"/>
                </a:lnTo>
                <a:lnTo>
                  <a:pt x="2036" y="3858"/>
                </a:lnTo>
                <a:lnTo>
                  <a:pt x="1988" y="3860"/>
                </a:lnTo>
                <a:lnTo>
                  <a:pt x="1942" y="3860"/>
                </a:lnTo>
                <a:lnTo>
                  <a:pt x="1896" y="3860"/>
                </a:lnTo>
                <a:lnTo>
                  <a:pt x="1848" y="3858"/>
                </a:lnTo>
                <a:lnTo>
                  <a:pt x="1802" y="3856"/>
                </a:lnTo>
                <a:lnTo>
                  <a:pt x="1756" y="3853"/>
                </a:lnTo>
                <a:lnTo>
                  <a:pt x="1710" y="3847"/>
                </a:lnTo>
                <a:lnTo>
                  <a:pt x="1664" y="3842"/>
                </a:lnTo>
                <a:lnTo>
                  <a:pt x="1618" y="3834"/>
                </a:lnTo>
                <a:lnTo>
                  <a:pt x="1572" y="3827"/>
                </a:lnTo>
                <a:lnTo>
                  <a:pt x="1526" y="3818"/>
                </a:lnTo>
                <a:lnTo>
                  <a:pt x="1482" y="3808"/>
                </a:lnTo>
                <a:lnTo>
                  <a:pt x="1436" y="3796"/>
                </a:lnTo>
                <a:lnTo>
                  <a:pt x="1392" y="3784"/>
                </a:lnTo>
                <a:lnTo>
                  <a:pt x="1303" y="3755"/>
                </a:lnTo>
                <a:lnTo>
                  <a:pt x="1217" y="3724"/>
                </a:lnTo>
                <a:lnTo>
                  <a:pt x="1174" y="3705"/>
                </a:lnTo>
                <a:lnTo>
                  <a:pt x="1132" y="3687"/>
                </a:lnTo>
                <a:lnTo>
                  <a:pt x="1090" y="3668"/>
                </a:lnTo>
                <a:lnTo>
                  <a:pt x="1047" y="3646"/>
                </a:lnTo>
                <a:lnTo>
                  <a:pt x="1007" y="3626"/>
                </a:lnTo>
                <a:lnTo>
                  <a:pt x="966" y="3602"/>
                </a:lnTo>
                <a:lnTo>
                  <a:pt x="926" y="3580"/>
                </a:lnTo>
                <a:lnTo>
                  <a:pt x="887" y="3554"/>
                </a:lnTo>
                <a:lnTo>
                  <a:pt x="849" y="3529"/>
                </a:lnTo>
                <a:lnTo>
                  <a:pt x="810" y="3503"/>
                </a:lnTo>
                <a:lnTo>
                  <a:pt x="771" y="3475"/>
                </a:lnTo>
                <a:lnTo>
                  <a:pt x="734" y="3446"/>
                </a:lnTo>
                <a:lnTo>
                  <a:pt x="698" y="3416"/>
                </a:lnTo>
                <a:lnTo>
                  <a:pt x="663" y="3387"/>
                </a:lnTo>
                <a:lnTo>
                  <a:pt x="628" y="3355"/>
                </a:lnTo>
                <a:lnTo>
                  <a:pt x="593" y="3322"/>
                </a:lnTo>
                <a:lnTo>
                  <a:pt x="560" y="3289"/>
                </a:lnTo>
                <a:lnTo>
                  <a:pt x="526" y="3256"/>
                </a:lnTo>
                <a:lnTo>
                  <a:pt x="493" y="3221"/>
                </a:lnTo>
                <a:lnTo>
                  <a:pt x="462" y="3186"/>
                </a:lnTo>
                <a:lnTo>
                  <a:pt x="433" y="3149"/>
                </a:lnTo>
                <a:lnTo>
                  <a:pt x="403" y="3110"/>
                </a:lnTo>
                <a:lnTo>
                  <a:pt x="374" y="3072"/>
                </a:lnTo>
                <a:lnTo>
                  <a:pt x="346" y="3033"/>
                </a:lnTo>
                <a:lnTo>
                  <a:pt x="318" y="2993"/>
                </a:lnTo>
                <a:lnTo>
                  <a:pt x="293" y="2952"/>
                </a:lnTo>
                <a:lnTo>
                  <a:pt x="267" y="2910"/>
                </a:lnTo>
                <a:lnTo>
                  <a:pt x="243" y="2867"/>
                </a:lnTo>
                <a:lnTo>
                  <a:pt x="219" y="2823"/>
                </a:lnTo>
                <a:lnTo>
                  <a:pt x="197" y="2779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EditPoints="1"/>
          </xdr:cNvSpPr>
        </xdr:nvSpPr>
        <xdr:spPr bwMode="blackGray">
          <a:xfrm>
            <a:off x="7656437" y="356378"/>
            <a:ext cx="144148" cy="186307"/>
          </a:xfrm>
          <a:custGeom>
            <a:avLst/>
            <a:gdLst>
              <a:gd name="T0" fmla="*/ 245 w 1112"/>
              <a:gd name="T1" fmla="*/ 1431 h 1437"/>
              <a:gd name="T2" fmla="*/ 0 w 1112"/>
              <a:gd name="T3" fmla="*/ 1428 h 1437"/>
              <a:gd name="T4" fmla="*/ 32 w 1112"/>
              <a:gd name="T5" fmla="*/ 1350 h 1437"/>
              <a:gd name="T6" fmla="*/ 63 w 1112"/>
              <a:gd name="T7" fmla="*/ 1216 h 1437"/>
              <a:gd name="T8" fmla="*/ 81 w 1112"/>
              <a:gd name="T9" fmla="*/ 871 h 1437"/>
              <a:gd name="T10" fmla="*/ 78 w 1112"/>
              <a:gd name="T11" fmla="*/ 207 h 1437"/>
              <a:gd name="T12" fmla="*/ 55 w 1112"/>
              <a:gd name="T13" fmla="*/ 85 h 1437"/>
              <a:gd name="T14" fmla="*/ 21 w 1112"/>
              <a:gd name="T15" fmla="*/ 22 h 1437"/>
              <a:gd name="T16" fmla="*/ 192 w 1112"/>
              <a:gd name="T17" fmla="*/ 19 h 1437"/>
              <a:gd name="T18" fmla="*/ 611 w 1112"/>
              <a:gd name="T19" fmla="*/ 0 h 1437"/>
              <a:gd name="T20" fmla="*/ 770 w 1112"/>
              <a:gd name="T21" fmla="*/ 6 h 1437"/>
              <a:gd name="T22" fmla="*/ 899 w 1112"/>
              <a:gd name="T23" fmla="*/ 43 h 1437"/>
              <a:gd name="T24" fmla="*/ 987 w 1112"/>
              <a:gd name="T25" fmla="*/ 113 h 1437"/>
              <a:gd name="T26" fmla="*/ 1033 w 1112"/>
              <a:gd name="T27" fmla="*/ 214 h 1437"/>
              <a:gd name="T28" fmla="*/ 1037 w 1112"/>
              <a:gd name="T29" fmla="*/ 308 h 1437"/>
              <a:gd name="T30" fmla="*/ 1002 w 1112"/>
              <a:gd name="T31" fmla="*/ 424 h 1437"/>
              <a:gd name="T32" fmla="*/ 928 w 1112"/>
              <a:gd name="T33" fmla="*/ 512 h 1437"/>
              <a:gd name="T34" fmla="*/ 829 w 1112"/>
              <a:gd name="T35" fmla="*/ 579 h 1437"/>
              <a:gd name="T36" fmla="*/ 783 w 1112"/>
              <a:gd name="T37" fmla="*/ 626 h 1437"/>
              <a:gd name="T38" fmla="*/ 913 w 1112"/>
              <a:gd name="T39" fmla="*/ 674 h 1437"/>
              <a:gd name="T40" fmla="*/ 1024 w 1112"/>
              <a:gd name="T41" fmla="*/ 750 h 1437"/>
              <a:gd name="T42" fmla="*/ 1094 w 1112"/>
              <a:gd name="T43" fmla="*/ 864 h 1437"/>
              <a:gd name="T44" fmla="*/ 1112 w 1112"/>
              <a:gd name="T45" fmla="*/ 982 h 1437"/>
              <a:gd name="T46" fmla="*/ 1103 w 1112"/>
              <a:gd name="T47" fmla="*/ 1087 h 1437"/>
              <a:gd name="T48" fmla="*/ 1075 w 1112"/>
              <a:gd name="T49" fmla="*/ 1179 h 1437"/>
              <a:gd name="T50" fmla="*/ 1027 w 1112"/>
              <a:gd name="T51" fmla="*/ 1256 h 1437"/>
              <a:gd name="T52" fmla="*/ 963 w 1112"/>
              <a:gd name="T53" fmla="*/ 1321 h 1437"/>
              <a:gd name="T54" fmla="*/ 882 w 1112"/>
              <a:gd name="T55" fmla="*/ 1371 h 1437"/>
              <a:gd name="T56" fmla="*/ 781 w 1112"/>
              <a:gd name="T57" fmla="*/ 1407 h 1437"/>
              <a:gd name="T58" fmla="*/ 599 w 1112"/>
              <a:gd name="T59" fmla="*/ 1435 h 1437"/>
              <a:gd name="T60" fmla="*/ 306 w 1112"/>
              <a:gd name="T61" fmla="*/ 1032 h 1437"/>
              <a:gd name="T62" fmla="*/ 319 w 1112"/>
              <a:gd name="T63" fmla="*/ 1212 h 1437"/>
              <a:gd name="T64" fmla="*/ 354 w 1112"/>
              <a:gd name="T65" fmla="*/ 1288 h 1437"/>
              <a:gd name="T66" fmla="*/ 414 w 1112"/>
              <a:gd name="T67" fmla="*/ 1319 h 1437"/>
              <a:gd name="T68" fmla="*/ 481 w 1112"/>
              <a:gd name="T69" fmla="*/ 1324 h 1437"/>
              <a:gd name="T70" fmla="*/ 643 w 1112"/>
              <a:gd name="T71" fmla="*/ 1306 h 1437"/>
              <a:gd name="T72" fmla="*/ 759 w 1112"/>
              <a:gd name="T73" fmla="*/ 1251 h 1437"/>
              <a:gd name="T74" fmla="*/ 830 w 1112"/>
              <a:gd name="T75" fmla="*/ 1155 h 1437"/>
              <a:gd name="T76" fmla="*/ 856 w 1112"/>
              <a:gd name="T77" fmla="*/ 1019 h 1437"/>
              <a:gd name="T78" fmla="*/ 849 w 1112"/>
              <a:gd name="T79" fmla="*/ 941 h 1437"/>
              <a:gd name="T80" fmla="*/ 825 w 1112"/>
              <a:gd name="T81" fmla="*/ 859 h 1437"/>
              <a:gd name="T82" fmla="*/ 781 w 1112"/>
              <a:gd name="T83" fmla="*/ 798 h 1437"/>
              <a:gd name="T84" fmla="*/ 722 w 1112"/>
              <a:gd name="T85" fmla="*/ 755 h 1437"/>
              <a:gd name="T86" fmla="*/ 584 w 1112"/>
              <a:gd name="T87" fmla="*/ 715 h 1437"/>
              <a:gd name="T88" fmla="*/ 332 w 1112"/>
              <a:gd name="T89" fmla="*/ 702 h 1437"/>
              <a:gd name="T90" fmla="*/ 354 w 1112"/>
              <a:gd name="T91" fmla="*/ 601 h 1437"/>
              <a:gd name="T92" fmla="*/ 534 w 1112"/>
              <a:gd name="T93" fmla="*/ 586 h 1437"/>
              <a:gd name="T94" fmla="*/ 672 w 1112"/>
              <a:gd name="T95" fmla="*/ 540 h 1437"/>
              <a:gd name="T96" fmla="*/ 727 w 1112"/>
              <a:gd name="T97" fmla="*/ 499 h 1437"/>
              <a:gd name="T98" fmla="*/ 770 w 1112"/>
              <a:gd name="T99" fmla="*/ 442 h 1437"/>
              <a:gd name="T100" fmla="*/ 792 w 1112"/>
              <a:gd name="T101" fmla="*/ 367 h 1437"/>
              <a:gd name="T102" fmla="*/ 794 w 1112"/>
              <a:gd name="T103" fmla="*/ 291 h 1437"/>
              <a:gd name="T104" fmla="*/ 759 w 1112"/>
              <a:gd name="T105" fmla="*/ 196 h 1437"/>
              <a:gd name="T106" fmla="*/ 683 w 1112"/>
              <a:gd name="T107" fmla="*/ 140 h 1437"/>
              <a:gd name="T108" fmla="*/ 573 w 1112"/>
              <a:gd name="T109" fmla="*/ 116 h 1437"/>
              <a:gd name="T110" fmla="*/ 391 w 1112"/>
              <a:gd name="T111" fmla="*/ 115 h 14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12" h="1437">
                <a:moveTo>
                  <a:pt x="529" y="1437"/>
                </a:moveTo>
                <a:lnTo>
                  <a:pt x="529" y="1437"/>
                </a:lnTo>
                <a:lnTo>
                  <a:pt x="387" y="1435"/>
                </a:lnTo>
                <a:lnTo>
                  <a:pt x="245" y="1431"/>
                </a:lnTo>
                <a:lnTo>
                  <a:pt x="245" y="1431"/>
                </a:lnTo>
                <a:lnTo>
                  <a:pt x="133" y="1429"/>
                </a:lnTo>
                <a:lnTo>
                  <a:pt x="21" y="1428"/>
                </a:lnTo>
                <a:lnTo>
                  <a:pt x="0" y="1428"/>
                </a:lnTo>
                <a:lnTo>
                  <a:pt x="9" y="1409"/>
                </a:lnTo>
                <a:lnTo>
                  <a:pt x="9" y="1409"/>
                </a:lnTo>
                <a:lnTo>
                  <a:pt x="21" y="1382"/>
                </a:lnTo>
                <a:lnTo>
                  <a:pt x="32" y="1350"/>
                </a:lnTo>
                <a:lnTo>
                  <a:pt x="43" y="1319"/>
                </a:lnTo>
                <a:lnTo>
                  <a:pt x="50" y="1286"/>
                </a:lnTo>
                <a:lnTo>
                  <a:pt x="57" y="1251"/>
                </a:lnTo>
                <a:lnTo>
                  <a:pt x="63" y="1216"/>
                </a:lnTo>
                <a:lnTo>
                  <a:pt x="72" y="1146"/>
                </a:lnTo>
                <a:lnTo>
                  <a:pt x="78" y="1074"/>
                </a:lnTo>
                <a:lnTo>
                  <a:pt x="79" y="1004"/>
                </a:lnTo>
                <a:lnTo>
                  <a:pt x="81" y="871"/>
                </a:lnTo>
                <a:lnTo>
                  <a:pt x="81" y="317"/>
                </a:lnTo>
                <a:lnTo>
                  <a:pt x="81" y="317"/>
                </a:lnTo>
                <a:lnTo>
                  <a:pt x="79" y="243"/>
                </a:lnTo>
                <a:lnTo>
                  <a:pt x="78" y="207"/>
                </a:lnTo>
                <a:lnTo>
                  <a:pt x="76" y="170"/>
                </a:lnTo>
                <a:lnTo>
                  <a:pt x="70" y="135"/>
                </a:lnTo>
                <a:lnTo>
                  <a:pt x="61" y="100"/>
                </a:lnTo>
                <a:lnTo>
                  <a:pt x="55" y="85"/>
                </a:lnTo>
                <a:lnTo>
                  <a:pt x="50" y="68"/>
                </a:lnTo>
                <a:lnTo>
                  <a:pt x="43" y="56"/>
                </a:lnTo>
                <a:lnTo>
                  <a:pt x="33" y="41"/>
                </a:lnTo>
                <a:lnTo>
                  <a:pt x="21" y="22"/>
                </a:lnTo>
                <a:lnTo>
                  <a:pt x="44" y="22"/>
                </a:lnTo>
                <a:lnTo>
                  <a:pt x="44" y="22"/>
                </a:lnTo>
                <a:lnTo>
                  <a:pt x="118" y="21"/>
                </a:lnTo>
                <a:lnTo>
                  <a:pt x="192" y="19"/>
                </a:lnTo>
                <a:lnTo>
                  <a:pt x="341" y="11"/>
                </a:lnTo>
                <a:lnTo>
                  <a:pt x="341" y="11"/>
                </a:lnTo>
                <a:lnTo>
                  <a:pt x="518" y="4"/>
                </a:lnTo>
                <a:lnTo>
                  <a:pt x="611" y="0"/>
                </a:lnTo>
                <a:lnTo>
                  <a:pt x="694" y="0"/>
                </a:lnTo>
                <a:lnTo>
                  <a:pt x="694" y="0"/>
                </a:lnTo>
                <a:lnTo>
                  <a:pt x="733" y="2"/>
                </a:lnTo>
                <a:lnTo>
                  <a:pt x="770" y="6"/>
                </a:lnTo>
                <a:lnTo>
                  <a:pt x="807" y="11"/>
                </a:lnTo>
                <a:lnTo>
                  <a:pt x="838" y="19"/>
                </a:lnTo>
                <a:lnTo>
                  <a:pt x="869" y="30"/>
                </a:lnTo>
                <a:lnTo>
                  <a:pt x="899" y="43"/>
                </a:lnTo>
                <a:lnTo>
                  <a:pt x="924" y="56"/>
                </a:lnTo>
                <a:lnTo>
                  <a:pt x="946" y="72"/>
                </a:lnTo>
                <a:lnTo>
                  <a:pt x="969" y="92"/>
                </a:lnTo>
                <a:lnTo>
                  <a:pt x="987" y="113"/>
                </a:lnTo>
                <a:lnTo>
                  <a:pt x="1002" y="135"/>
                </a:lnTo>
                <a:lnTo>
                  <a:pt x="1015" y="159"/>
                </a:lnTo>
                <a:lnTo>
                  <a:pt x="1026" y="186"/>
                </a:lnTo>
                <a:lnTo>
                  <a:pt x="1033" y="214"/>
                </a:lnTo>
                <a:lnTo>
                  <a:pt x="1037" y="243"/>
                </a:lnTo>
                <a:lnTo>
                  <a:pt x="1039" y="275"/>
                </a:lnTo>
                <a:lnTo>
                  <a:pt x="1039" y="275"/>
                </a:lnTo>
                <a:lnTo>
                  <a:pt x="1037" y="308"/>
                </a:lnTo>
                <a:lnTo>
                  <a:pt x="1033" y="339"/>
                </a:lnTo>
                <a:lnTo>
                  <a:pt x="1024" y="371"/>
                </a:lnTo>
                <a:lnTo>
                  <a:pt x="1015" y="398"/>
                </a:lnTo>
                <a:lnTo>
                  <a:pt x="1002" y="424"/>
                </a:lnTo>
                <a:lnTo>
                  <a:pt x="985" y="448"/>
                </a:lnTo>
                <a:lnTo>
                  <a:pt x="969" y="470"/>
                </a:lnTo>
                <a:lnTo>
                  <a:pt x="948" y="492"/>
                </a:lnTo>
                <a:lnTo>
                  <a:pt x="928" y="512"/>
                </a:lnTo>
                <a:lnTo>
                  <a:pt x="904" y="531"/>
                </a:lnTo>
                <a:lnTo>
                  <a:pt x="880" y="547"/>
                </a:lnTo>
                <a:lnTo>
                  <a:pt x="856" y="564"/>
                </a:lnTo>
                <a:lnTo>
                  <a:pt x="829" y="579"/>
                </a:lnTo>
                <a:lnTo>
                  <a:pt x="803" y="592"/>
                </a:lnTo>
                <a:lnTo>
                  <a:pt x="748" y="617"/>
                </a:lnTo>
                <a:lnTo>
                  <a:pt x="748" y="617"/>
                </a:lnTo>
                <a:lnTo>
                  <a:pt x="783" y="626"/>
                </a:lnTo>
                <a:lnTo>
                  <a:pt x="816" y="638"/>
                </a:lnTo>
                <a:lnTo>
                  <a:pt x="851" y="649"/>
                </a:lnTo>
                <a:lnTo>
                  <a:pt x="882" y="660"/>
                </a:lnTo>
                <a:lnTo>
                  <a:pt x="913" y="674"/>
                </a:lnTo>
                <a:lnTo>
                  <a:pt x="945" y="691"/>
                </a:lnTo>
                <a:lnTo>
                  <a:pt x="972" y="708"/>
                </a:lnTo>
                <a:lnTo>
                  <a:pt x="1000" y="728"/>
                </a:lnTo>
                <a:lnTo>
                  <a:pt x="1024" y="750"/>
                </a:lnTo>
                <a:lnTo>
                  <a:pt x="1046" y="774"/>
                </a:lnTo>
                <a:lnTo>
                  <a:pt x="1064" y="801"/>
                </a:lnTo>
                <a:lnTo>
                  <a:pt x="1081" y="831"/>
                </a:lnTo>
                <a:lnTo>
                  <a:pt x="1094" y="864"/>
                </a:lnTo>
                <a:lnTo>
                  <a:pt x="1105" y="901"/>
                </a:lnTo>
                <a:lnTo>
                  <a:pt x="1110" y="940"/>
                </a:lnTo>
                <a:lnTo>
                  <a:pt x="1112" y="982"/>
                </a:lnTo>
                <a:lnTo>
                  <a:pt x="1112" y="982"/>
                </a:lnTo>
                <a:lnTo>
                  <a:pt x="1112" y="1010"/>
                </a:lnTo>
                <a:lnTo>
                  <a:pt x="1110" y="1037"/>
                </a:lnTo>
                <a:lnTo>
                  <a:pt x="1107" y="1063"/>
                </a:lnTo>
                <a:lnTo>
                  <a:pt x="1103" y="1087"/>
                </a:lnTo>
                <a:lnTo>
                  <a:pt x="1097" y="1111"/>
                </a:lnTo>
                <a:lnTo>
                  <a:pt x="1092" y="1135"/>
                </a:lnTo>
                <a:lnTo>
                  <a:pt x="1083" y="1157"/>
                </a:lnTo>
                <a:lnTo>
                  <a:pt x="1075" y="1179"/>
                </a:lnTo>
                <a:lnTo>
                  <a:pt x="1064" y="1199"/>
                </a:lnTo>
                <a:lnTo>
                  <a:pt x="1053" y="1219"/>
                </a:lnTo>
                <a:lnTo>
                  <a:pt x="1042" y="1238"/>
                </a:lnTo>
                <a:lnTo>
                  <a:pt x="1027" y="1256"/>
                </a:lnTo>
                <a:lnTo>
                  <a:pt x="1015" y="1275"/>
                </a:lnTo>
                <a:lnTo>
                  <a:pt x="998" y="1289"/>
                </a:lnTo>
                <a:lnTo>
                  <a:pt x="981" y="1306"/>
                </a:lnTo>
                <a:lnTo>
                  <a:pt x="963" y="1321"/>
                </a:lnTo>
                <a:lnTo>
                  <a:pt x="945" y="1336"/>
                </a:lnTo>
                <a:lnTo>
                  <a:pt x="924" y="1348"/>
                </a:lnTo>
                <a:lnTo>
                  <a:pt x="904" y="1359"/>
                </a:lnTo>
                <a:lnTo>
                  <a:pt x="882" y="1371"/>
                </a:lnTo>
                <a:lnTo>
                  <a:pt x="858" y="1382"/>
                </a:lnTo>
                <a:lnTo>
                  <a:pt x="834" y="1391"/>
                </a:lnTo>
                <a:lnTo>
                  <a:pt x="808" y="1400"/>
                </a:lnTo>
                <a:lnTo>
                  <a:pt x="781" y="1407"/>
                </a:lnTo>
                <a:lnTo>
                  <a:pt x="753" y="1415"/>
                </a:lnTo>
                <a:lnTo>
                  <a:pt x="724" y="1420"/>
                </a:lnTo>
                <a:lnTo>
                  <a:pt x="663" y="1429"/>
                </a:lnTo>
                <a:lnTo>
                  <a:pt x="599" y="1435"/>
                </a:lnTo>
                <a:lnTo>
                  <a:pt x="529" y="1437"/>
                </a:lnTo>
                <a:close/>
                <a:moveTo>
                  <a:pt x="306" y="702"/>
                </a:moveTo>
                <a:lnTo>
                  <a:pt x="306" y="1032"/>
                </a:lnTo>
                <a:lnTo>
                  <a:pt x="306" y="1032"/>
                </a:lnTo>
                <a:lnTo>
                  <a:pt x="308" y="1118"/>
                </a:lnTo>
                <a:lnTo>
                  <a:pt x="311" y="1153"/>
                </a:lnTo>
                <a:lnTo>
                  <a:pt x="315" y="1184"/>
                </a:lnTo>
                <a:lnTo>
                  <a:pt x="319" y="1212"/>
                </a:lnTo>
                <a:lnTo>
                  <a:pt x="326" y="1236"/>
                </a:lnTo>
                <a:lnTo>
                  <a:pt x="333" y="1256"/>
                </a:lnTo>
                <a:lnTo>
                  <a:pt x="343" y="1273"/>
                </a:lnTo>
                <a:lnTo>
                  <a:pt x="354" y="1288"/>
                </a:lnTo>
                <a:lnTo>
                  <a:pt x="365" y="1299"/>
                </a:lnTo>
                <a:lnTo>
                  <a:pt x="379" y="1308"/>
                </a:lnTo>
                <a:lnTo>
                  <a:pt x="396" y="1315"/>
                </a:lnTo>
                <a:lnTo>
                  <a:pt x="414" y="1319"/>
                </a:lnTo>
                <a:lnTo>
                  <a:pt x="435" y="1323"/>
                </a:lnTo>
                <a:lnTo>
                  <a:pt x="457" y="1324"/>
                </a:lnTo>
                <a:lnTo>
                  <a:pt x="481" y="1324"/>
                </a:lnTo>
                <a:lnTo>
                  <a:pt x="481" y="1324"/>
                </a:lnTo>
                <a:lnTo>
                  <a:pt x="525" y="1324"/>
                </a:lnTo>
                <a:lnTo>
                  <a:pt x="567" y="1321"/>
                </a:lnTo>
                <a:lnTo>
                  <a:pt x="606" y="1315"/>
                </a:lnTo>
                <a:lnTo>
                  <a:pt x="643" y="1306"/>
                </a:lnTo>
                <a:lnTo>
                  <a:pt x="676" y="1297"/>
                </a:lnTo>
                <a:lnTo>
                  <a:pt x="705" y="1284"/>
                </a:lnTo>
                <a:lnTo>
                  <a:pt x="735" y="1267"/>
                </a:lnTo>
                <a:lnTo>
                  <a:pt x="759" y="1251"/>
                </a:lnTo>
                <a:lnTo>
                  <a:pt x="781" y="1231"/>
                </a:lnTo>
                <a:lnTo>
                  <a:pt x="801" y="1208"/>
                </a:lnTo>
                <a:lnTo>
                  <a:pt x="818" y="1183"/>
                </a:lnTo>
                <a:lnTo>
                  <a:pt x="830" y="1155"/>
                </a:lnTo>
                <a:lnTo>
                  <a:pt x="842" y="1126"/>
                </a:lnTo>
                <a:lnTo>
                  <a:pt x="849" y="1092"/>
                </a:lnTo>
                <a:lnTo>
                  <a:pt x="854" y="1057"/>
                </a:lnTo>
                <a:lnTo>
                  <a:pt x="856" y="1019"/>
                </a:lnTo>
                <a:lnTo>
                  <a:pt x="856" y="1019"/>
                </a:lnTo>
                <a:lnTo>
                  <a:pt x="854" y="991"/>
                </a:lnTo>
                <a:lnTo>
                  <a:pt x="853" y="965"/>
                </a:lnTo>
                <a:lnTo>
                  <a:pt x="849" y="941"/>
                </a:lnTo>
                <a:lnTo>
                  <a:pt x="845" y="917"/>
                </a:lnTo>
                <a:lnTo>
                  <a:pt x="840" y="897"/>
                </a:lnTo>
                <a:lnTo>
                  <a:pt x="832" y="877"/>
                </a:lnTo>
                <a:lnTo>
                  <a:pt x="825" y="859"/>
                </a:lnTo>
                <a:lnTo>
                  <a:pt x="816" y="842"/>
                </a:lnTo>
                <a:lnTo>
                  <a:pt x="805" y="825"/>
                </a:lnTo>
                <a:lnTo>
                  <a:pt x="794" y="811"/>
                </a:lnTo>
                <a:lnTo>
                  <a:pt x="781" y="798"/>
                </a:lnTo>
                <a:lnTo>
                  <a:pt x="768" y="785"/>
                </a:lnTo>
                <a:lnTo>
                  <a:pt x="753" y="774"/>
                </a:lnTo>
                <a:lnTo>
                  <a:pt x="738" y="765"/>
                </a:lnTo>
                <a:lnTo>
                  <a:pt x="722" y="755"/>
                </a:lnTo>
                <a:lnTo>
                  <a:pt x="705" y="746"/>
                </a:lnTo>
                <a:lnTo>
                  <a:pt x="668" y="733"/>
                </a:lnTo>
                <a:lnTo>
                  <a:pt x="628" y="722"/>
                </a:lnTo>
                <a:lnTo>
                  <a:pt x="584" y="715"/>
                </a:lnTo>
                <a:lnTo>
                  <a:pt x="538" y="709"/>
                </a:lnTo>
                <a:lnTo>
                  <a:pt x="490" y="706"/>
                </a:lnTo>
                <a:lnTo>
                  <a:pt x="440" y="704"/>
                </a:lnTo>
                <a:lnTo>
                  <a:pt x="332" y="702"/>
                </a:lnTo>
                <a:lnTo>
                  <a:pt x="306" y="702"/>
                </a:lnTo>
                <a:close/>
                <a:moveTo>
                  <a:pt x="306" y="601"/>
                </a:moveTo>
                <a:lnTo>
                  <a:pt x="354" y="601"/>
                </a:lnTo>
                <a:lnTo>
                  <a:pt x="354" y="601"/>
                </a:lnTo>
                <a:lnTo>
                  <a:pt x="424" y="599"/>
                </a:lnTo>
                <a:lnTo>
                  <a:pt x="460" y="595"/>
                </a:lnTo>
                <a:lnTo>
                  <a:pt x="497" y="592"/>
                </a:lnTo>
                <a:lnTo>
                  <a:pt x="534" y="586"/>
                </a:lnTo>
                <a:lnTo>
                  <a:pt x="571" y="579"/>
                </a:lnTo>
                <a:lnTo>
                  <a:pt x="606" y="569"/>
                </a:lnTo>
                <a:lnTo>
                  <a:pt x="641" y="557"/>
                </a:lnTo>
                <a:lnTo>
                  <a:pt x="672" y="540"/>
                </a:lnTo>
                <a:lnTo>
                  <a:pt x="687" y="531"/>
                </a:lnTo>
                <a:lnTo>
                  <a:pt x="702" y="522"/>
                </a:lnTo>
                <a:lnTo>
                  <a:pt x="716" y="510"/>
                </a:lnTo>
                <a:lnTo>
                  <a:pt x="727" y="499"/>
                </a:lnTo>
                <a:lnTo>
                  <a:pt x="740" y="487"/>
                </a:lnTo>
                <a:lnTo>
                  <a:pt x="751" y="472"/>
                </a:lnTo>
                <a:lnTo>
                  <a:pt x="761" y="457"/>
                </a:lnTo>
                <a:lnTo>
                  <a:pt x="770" y="442"/>
                </a:lnTo>
                <a:lnTo>
                  <a:pt x="777" y="424"/>
                </a:lnTo>
                <a:lnTo>
                  <a:pt x="783" y="407"/>
                </a:lnTo>
                <a:lnTo>
                  <a:pt x="788" y="387"/>
                </a:lnTo>
                <a:lnTo>
                  <a:pt x="792" y="367"/>
                </a:lnTo>
                <a:lnTo>
                  <a:pt x="794" y="345"/>
                </a:lnTo>
                <a:lnTo>
                  <a:pt x="796" y="323"/>
                </a:lnTo>
                <a:lnTo>
                  <a:pt x="796" y="323"/>
                </a:lnTo>
                <a:lnTo>
                  <a:pt x="794" y="291"/>
                </a:lnTo>
                <a:lnTo>
                  <a:pt x="790" y="262"/>
                </a:lnTo>
                <a:lnTo>
                  <a:pt x="783" y="238"/>
                </a:lnTo>
                <a:lnTo>
                  <a:pt x="772" y="216"/>
                </a:lnTo>
                <a:lnTo>
                  <a:pt x="759" y="196"/>
                </a:lnTo>
                <a:lnTo>
                  <a:pt x="744" y="179"/>
                </a:lnTo>
                <a:lnTo>
                  <a:pt x="726" y="164"/>
                </a:lnTo>
                <a:lnTo>
                  <a:pt x="705" y="151"/>
                </a:lnTo>
                <a:lnTo>
                  <a:pt x="683" y="140"/>
                </a:lnTo>
                <a:lnTo>
                  <a:pt x="657" y="131"/>
                </a:lnTo>
                <a:lnTo>
                  <a:pt x="632" y="126"/>
                </a:lnTo>
                <a:lnTo>
                  <a:pt x="602" y="120"/>
                </a:lnTo>
                <a:lnTo>
                  <a:pt x="573" y="116"/>
                </a:lnTo>
                <a:lnTo>
                  <a:pt x="540" y="113"/>
                </a:lnTo>
                <a:lnTo>
                  <a:pt x="470" y="111"/>
                </a:lnTo>
                <a:lnTo>
                  <a:pt x="470" y="111"/>
                </a:lnTo>
                <a:lnTo>
                  <a:pt x="391" y="115"/>
                </a:lnTo>
                <a:lnTo>
                  <a:pt x="306" y="120"/>
                </a:lnTo>
                <a:lnTo>
                  <a:pt x="306" y="601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blackGray">
          <a:xfrm>
            <a:off x="7656437" y="356378"/>
            <a:ext cx="144148" cy="186307"/>
          </a:xfrm>
          <a:custGeom>
            <a:avLst/>
            <a:gdLst>
              <a:gd name="T0" fmla="*/ 529 w 1112"/>
              <a:gd name="T1" fmla="*/ 1437 h 1437"/>
              <a:gd name="T2" fmla="*/ 245 w 1112"/>
              <a:gd name="T3" fmla="*/ 1431 h 1437"/>
              <a:gd name="T4" fmla="*/ 133 w 1112"/>
              <a:gd name="T5" fmla="*/ 1429 h 1437"/>
              <a:gd name="T6" fmla="*/ 0 w 1112"/>
              <a:gd name="T7" fmla="*/ 1428 h 1437"/>
              <a:gd name="T8" fmla="*/ 9 w 1112"/>
              <a:gd name="T9" fmla="*/ 1409 h 1437"/>
              <a:gd name="T10" fmla="*/ 32 w 1112"/>
              <a:gd name="T11" fmla="*/ 1350 h 1437"/>
              <a:gd name="T12" fmla="*/ 50 w 1112"/>
              <a:gd name="T13" fmla="*/ 1286 h 1437"/>
              <a:gd name="T14" fmla="*/ 63 w 1112"/>
              <a:gd name="T15" fmla="*/ 1216 h 1437"/>
              <a:gd name="T16" fmla="*/ 78 w 1112"/>
              <a:gd name="T17" fmla="*/ 1074 h 1437"/>
              <a:gd name="T18" fmla="*/ 81 w 1112"/>
              <a:gd name="T19" fmla="*/ 871 h 1437"/>
              <a:gd name="T20" fmla="*/ 81 w 1112"/>
              <a:gd name="T21" fmla="*/ 317 h 1437"/>
              <a:gd name="T22" fmla="*/ 78 w 1112"/>
              <a:gd name="T23" fmla="*/ 207 h 1437"/>
              <a:gd name="T24" fmla="*/ 70 w 1112"/>
              <a:gd name="T25" fmla="*/ 135 h 1437"/>
              <a:gd name="T26" fmla="*/ 55 w 1112"/>
              <a:gd name="T27" fmla="*/ 85 h 1437"/>
              <a:gd name="T28" fmla="*/ 43 w 1112"/>
              <a:gd name="T29" fmla="*/ 56 h 1437"/>
              <a:gd name="T30" fmla="*/ 21 w 1112"/>
              <a:gd name="T31" fmla="*/ 22 h 1437"/>
              <a:gd name="T32" fmla="*/ 44 w 1112"/>
              <a:gd name="T33" fmla="*/ 22 h 1437"/>
              <a:gd name="T34" fmla="*/ 192 w 1112"/>
              <a:gd name="T35" fmla="*/ 19 h 1437"/>
              <a:gd name="T36" fmla="*/ 341 w 1112"/>
              <a:gd name="T37" fmla="*/ 11 h 1437"/>
              <a:gd name="T38" fmla="*/ 611 w 1112"/>
              <a:gd name="T39" fmla="*/ 0 h 1437"/>
              <a:gd name="T40" fmla="*/ 694 w 1112"/>
              <a:gd name="T41" fmla="*/ 0 h 1437"/>
              <a:gd name="T42" fmla="*/ 770 w 1112"/>
              <a:gd name="T43" fmla="*/ 6 h 1437"/>
              <a:gd name="T44" fmla="*/ 838 w 1112"/>
              <a:gd name="T45" fmla="*/ 19 h 1437"/>
              <a:gd name="T46" fmla="*/ 899 w 1112"/>
              <a:gd name="T47" fmla="*/ 43 h 1437"/>
              <a:gd name="T48" fmla="*/ 946 w 1112"/>
              <a:gd name="T49" fmla="*/ 72 h 1437"/>
              <a:gd name="T50" fmla="*/ 987 w 1112"/>
              <a:gd name="T51" fmla="*/ 113 h 1437"/>
              <a:gd name="T52" fmla="*/ 1015 w 1112"/>
              <a:gd name="T53" fmla="*/ 159 h 1437"/>
              <a:gd name="T54" fmla="*/ 1033 w 1112"/>
              <a:gd name="T55" fmla="*/ 214 h 1437"/>
              <a:gd name="T56" fmla="*/ 1039 w 1112"/>
              <a:gd name="T57" fmla="*/ 275 h 1437"/>
              <a:gd name="T58" fmla="*/ 1037 w 1112"/>
              <a:gd name="T59" fmla="*/ 308 h 1437"/>
              <a:gd name="T60" fmla="*/ 1024 w 1112"/>
              <a:gd name="T61" fmla="*/ 371 h 1437"/>
              <a:gd name="T62" fmla="*/ 1002 w 1112"/>
              <a:gd name="T63" fmla="*/ 424 h 1437"/>
              <a:gd name="T64" fmla="*/ 969 w 1112"/>
              <a:gd name="T65" fmla="*/ 470 h 1437"/>
              <a:gd name="T66" fmla="*/ 928 w 1112"/>
              <a:gd name="T67" fmla="*/ 512 h 1437"/>
              <a:gd name="T68" fmla="*/ 880 w 1112"/>
              <a:gd name="T69" fmla="*/ 547 h 1437"/>
              <a:gd name="T70" fmla="*/ 829 w 1112"/>
              <a:gd name="T71" fmla="*/ 579 h 1437"/>
              <a:gd name="T72" fmla="*/ 748 w 1112"/>
              <a:gd name="T73" fmla="*/ 617 h 1437"/>
              <a:gd name="T74" fmla="*/ 783 w 1112"/>
              <a:gd name="T75" fmla="*/ 626 h 1437"/>
              <a:gd name="T76" fmla="*/ 851 w 1112"/>
              <a:gd name="T77" fmla="*/ 649 h 1437"/>
              <a:gd name="T78" fmla="*/ 913 w 1112"/>
              <a:gd name="T79" fmla="*/ 674 h 1437"/>
              <a:gd name="T80" fmla="*/ 972 w 1112"/>
              <a:gd name="T81" fmla="*/ 708 h 1437"/>
              <a:gd name="T82" fmla="*/ 1024 w 1112"/>
              <a:gd name="T83" fmla="*/ 750 h 1437"/>
              <a:gd name="T84" fmla="*/ 1064 w 1112"/>
              <a:gd name="T85" fmla="*/ 801 h 1437"/>
              <a:gd name="T86" fmla="*/ 1094 w 1112"/>
              <a:gd name="T87" fmla="*/ 864 h 1437"/>
              <a:gd name="T88" fmla="*/ 1110 w 1112"/>
              <a:gd name="T89" fmla="*/ 940 h 1437"/>
              <a:gd name="T90" fmla="*/ 1112 w 1112"/>
              <a:gd name="T91" fmla="*/ 982 h 1437"/>
              <a:gd name="T92" fmla="*/ 1110 w 1112"/>
              <a:gd name="T93" fmla="*/ 1037 h 1437"/>
              <a:gd name="T94" fmla="*/ 1103 w 1112"/>
              <a:gd name="T95" fmla="*/ 1087 h 1437"/>
              <a:gd name="T96" fmla="*/ 1092 w 1112"/>
              <a:gd name="T97" fmla="*/ 1135 h 1437"/>
              <a:gd name="T98" fmla="*/ 1075 w 1112"/>
              <a:gd name="T99" fmla="*/ 1179 h 1437"/>
              <a:gd name="T100" fmla="*/ 1053 w 1112"/>
              <a:gd name="T101" fmla="*/ 1219 h 1437"/>
              <a:gd name="T102" fmla="*/ 1027 w 1112"/>
              <a:gd name="T103" fmla="*/ 1256 h 1437"/>
              <a:gd name="T104" fmla="*/ 998 w 1112"/>
              <a:gd name="T105" fmla="*/ 1289 h 1437"/>
              <a:gd name="T106" fmla="*/ 963 w 1112"/>
              <a:gd name="T107" fmla="*/ 1321 h 1437"/>
              <a:gd name="T108" fmla="*/ 924 w 1112"/>
              <a:gd name="T109" fmla="*/ 1348 h 1437"/>
              <a:gd name="T110" fmla="*/ 882 w 1112"/>
              <a:gd name="T111" fmla="*/ 1371 h 1437"/>
              <a:gd name="T112" fmla="*/ 834 w 1112"/>
              <a:gd name="T113" fmla="*/ 1391 h 1437"/>
              <a:gd name="T114" fmla="*/ 781 w 1112"/>
              <a:gd name="T115" fmla="*/ 1407 h 1437"/>
              <a:gd name="T116" fmla="*/ 724 w 1112"/>
              <a:gd name="T117" fmla="*/ 1420 h 1437"/>
              <a:gd name="T118" fmla="*/ 599 w 1112"/>
              <a:gd name="T119" fmla="*/ 1435 h 14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112" h="1437">
                <a:moveTo>
                  <a:pt x="529" y="1437"/>
                </a:moveTo>
                <a:lnTo>
                  <a:pt x="529" y="1437"/>
                </a:lnTo>
                <a:lnTo>
                  <a:pt x="387" y="1435"/>
                </a:lnTo>
                <a:lnTo>
                  <a:pt x="245" y="1431"/>
                </a:lnTo>
                <a:lnTo>
                  <a:pt x="245" y="1431"/>
                </a:lnTo>
                <a:lnTo>
                  <a:pt x="133" y="1429"/>
                </a:lnTo>
                <a:lnTo>
                  <a:pt x="21" y="1428"/>
                </a:lnTo>
                <a:lnTo>
                  <a:pt x="0" y="1428"/>
                </a:lnTo>
                <a:lnTo>
                  <a:pt x="9" y="1409"/>
                </a:lnTo>
                <a:lnTo>
                  <a:pt x="9" y="1409"/>
                </a:lnTo>
                <a:lnTo>
                  <a:pt x="21" y="1382"/>
                </a:lnTo>
                <a:lnTo>
                  <a:pt x="32" y="1350"/>
                </a:lnTo>
                <a:lnTo>
                  <a:pt x="43" y="1319"/>
                </a:lnTo>
                <a:lnTo>
                  <a:pt x="50" y="1286"/>
                </a:lnTo>
                <a:lnTo>
                  <a:pt x="57" y="1251"/>
                </a:lnTo>
                <a:lnTo>
                  <a:pt x="63" y="1216"/>
                </a:lnTo>
                <a:lnTo>
                  <a:pt x="72" y="1146"/>
                </a:lnTo>
                <a:lnTo>
                  <a:pt x="78" y="1074"/>
                </a:lnTo>
                <a:lnTo>
                  <a:pt x="79" y="1004"/>
                </a:lnTo>
                <a:lnTo>
                  <a:pt x="81" y="871"/>
                </a:lnTo>
                <a:lnTo>
                  <a:pt x="81" y="317"/>
                </a:lnTo>
                <a:lnTo>
                  <a:pt x="81" y="317"/>
                </a:lnTo>
                <a:lnTo>
                  <a:pt x="79" y="243"/>
                </a:lnTo>
                <a:lnTo>
                  <a:pt x="78" y="207"/>
                </a:lnTo>
                <a:lnTo>
                  <a:pt x="76" y="170"/>
                </a:lnTo>
                <a:lnTo>
                  <a:pt x="70" y="135"/>
                </a:lnTo>
                <a:lnTo>
                  <a:pt x="61" y="100"/>
                </a:lnTo>
                <a:lnTo>
                  <a:pt x="55" y="85"/>
                </a:lnTo>
                <a:lnTo>
                  <a:pt x="50" y="68"/>
                </a:lnTo>
                <a:lnTo>
                  <a:pt x="43" y="56"/>
                </a:lnTo>
                <a:lnTo>
                  <a:pt x="33" y="41"/>
                </a:lnTo>
                <a:lnTo>
                  <a:pt x="21" y="22"/>
                </a:lnTo>
                <a:lnTo>
                  <a:pt x="44" y="22"/>
                </a:lnTo>
                <a:lnTo>
                  <a:pt x="44" y="22"/>
                </a:lnTo>
                <a:lnTo>
                  <a:pt x="118" y="21"/>
                </a:lnTo>
                <a:lnTo>
                  <a:pt x="192" y="19"/>
                </a:lnTo>
                <a:lnTo>
                  <a:pt x="341" y="11"/>
                </a:lnTo>
                <a:lnTo>
                  <a:pt x="341" y="11"/>
                </a:lnTo>
                <a:lnTo>
                  <a:pt x="518" y="4"/>
                </a:lnTo>
                <a:lnTo>
                  <a:pt x="611" y="0"/>
                </a:lnTo>
                <a:lnTo>
                  <a:pt x="694" y="0"/>
                </a:lnTo>
                <a:lnTo>
                  <a:pt x="694" y="0"/>
                </a:lnTo>
                <a:lnTo>
                  <a:pt x="733" y="2"/>
                </a:lnTo>
                <a:lnTo>
                  <a:pt x="770" y="6"/>
                </a:lnTo>
                <a:lnTo>
                  <a:pt x="807" y="11"/>
                </a:lnTo>
                <a:lnTo>
                  <a:pt x="838" y="19"/>
                </a:lnTo>
                <a:lnTo>
                  <a:pt x="869" y="30"/>
                </a:lnTo>
                <a:lnTo>
                  <a:pt x="899" y="43"/>
                </a:lnTo>
                <a:lnTo>
                  <a:pt x="924" y="56"/>
                </a:lnTo>
                <a:lnTo>
                  <a:pt x="946" y="72"/>
                </a:lnTo>
                <a:lnTo>
                  <a:pt x="969" y="92"/>
                </a:lnTo>
                <a:lnTo>
                  <a:pt x="987" y="113"/>
                </a:lnTo>
                <a:lnTo>
                  <a:pt x="1002" y="135"/>
                </a:lnTo>
                <a:lnTo>
                  <a:pt x="1015" y="159"/>
                </a:lnTo>
                <a:lnTo>
                  <a:pt x="1026" y="186"/>
                </a:lnTo>
                <a:lnTo>
                  <a:pt x="1033" y="214"/>
                </a:lnTo>
                <a:lnTo>
                  <a:pt x="1037" y="243"/>
                </a:lnTo>
                <a:lnTo>
                  <a:pt x="1039" y="275"/>
                </a:lnTo>
                <a:lnTo>
                  <a:pt x="1039" y="275"/>
                </a:lnTo>
                <a:lnTo>
                  <a:pt x="1037" y="308"/>
                </a:lnTo>
                <a:lnTo>
                  <a:pt x="1033" y="339"/>
                </a:lnTo>
                <a:lnTo>
                  <a:pt x="1024" y="371"/>
                </a:lnTo>
                <a:lnTo>
                  <a:pt x="1015" y="398"/>
                </a:lnTo>
                <a:lnTo>
                  <a:pt x="1002" y="424"/>
                </a:lnTo>
                <a:lnTo>
                  <a:pt x="985" y="448"/>
                </a:lnTo>
                <a:lnTo>
                  <a:pt x="969" y="470"/>
                </a:lnTo>
                <a:lnTo>
                  <a:pt x="948" y="492"/>
                </a:lnTo>
                <a:lnTo>
                  <a:pt x="928" y="512"/>
                </a:lnTo>
                <a:lnTo>
                  <a:pt x="904" y="531"/>
                </a:lnTo>
                <a:lnTo>
                  <a:pt x="880" y="547"/>
                </a:lnTo>
                <a:lnTo>
                  <a:pt x="856" y="564"/>
                </a:lnTo>
                <a:lnTo>
                  <a:pt x="829" y="579"/>
                </a:lnTo>
                <a:lnTo>
                  <a:pt x="803" y="592"/>
                </a:lnTo>
                <a:lnTo>
                  <a:pt x="748" y="617"/>
                </a:lnTo>
                <a:lnTo>
                  <a:pt x="748" y="617"/>
                </a:lnTo>
                <a:lnTo>
                  <a:pt x="783" y="626"/>
                </a:lnTo>
                <a:lnTo>
                  <a:pt x="816" y="638"/>
                </a:lnTo>
                <a:lnTo>
                  <a:pt x="851" y="649"/>
                </a:lnTo>
                <a:lnTo>
                  <a:pt x="882" y="660"/>
                </a:lnTo>
                <a:lnTo>
                  <a:pt x="913" y="674"/>
                </a:lnTo>
                <a:lnTo>
                  <a:pt x="945" y="691"/>
                </a:lnTo>
                <a:lnTo>
                  <a:pt x="972" y="708"/>
                </a:lnTo>
                <a:lnTo>
                  <a:pt x="1000" y="728"/>
                </a:lnTo>
                <a:lnTo>
                  <a:pt x="1024" y="750"/>
                </a:lnTo>
                <a:lnTo>
                  <a:pt x="1046" y="774"/>
                </a:lnTo>
                <a:lnTo>
                  <a:pt x="1064" y="801"/>
                </a:lnTo>
                <a:lnTo>
                  <a:pt x="1081" y="831"/>
                </a:lnTo>
                <a:lnTo>
                  <a:pt x="1094" y="864"/>
                </a:lnTo>
                <a:lnTo>
                  <a:pt x="1105" y="901"/>
                </a:lnTo>
                <a:lnTo>
                  <a:pt x="1110" y="940"/>
                </a:lnTo>
                <a:lnTo>
                  <a:pt x="1112" y="982"/>
                </a:lnTo>
                <a:lnTo>
                  <a:pt x="1112" y="982"/>
                </a:lnTo>
                <a:lnTo>
                  <a:pt x="1112" y="1010"/>
                </a:lnTo>
                <a:lnTo>
                  <a:pt x="1110" y="1037"/>
                </a:lnTo>
                <a:lnTo>
                  <a:pt x="1107" y="1063"/>
                </a:lnTo>
                <a:lnTo>
                  <a:pt x="1103" y="1087"/>
                </a:lnTo>
                <a:lnTo>
                  <a:pt x="1097" y="1111"/>
                </a:lnTo>
                <a:lnTo>
                  <a:pt x="1092" y="1135"/>
                </a:lnTo>
                <a:lnTo>
                  <a:pt x="1083" y="1157"/>
                </a:lnTo>
                <a:lnTo>
                  <a:pt x="1075" y="1179"/>
                </a:lnTo>
                <a:lnTo>
                  <a:pt x="1064" y="1199"/>
                </a:lnTo>
                <a:lnTo>
                  <a:pt x="1053" y="1219"/>
                </a:lnTo>
                <a:lnTo>
                  <a:pt x="1042" y="1238"/>
                </a:lnTo>
                <a:lnTo>
                  <a:pt x="1027" y="1256"/>
                </a:lnTo>
                <a:lnTo>
                  <a:pt x="1015" y="1275"/>
                </a:lnTo>
                <a:lnTo>
                  <a:pt x="998" y="1289"/>
                </a:lnTo>
                <a:lnTo>
                  <a:pt x="981" y="1306"/>
                </a:lnTo>
                <a:lnTo>
                  <a:pt x="963" y="1321"/>
                </a:lnTo>
                <a:lnTo>
                  <a:pt x="945" y="1336"/>
                </a:lnTo>
                <a:lnTo>
                  <a:pt x="924" y="1348"/>
                </a:lnTo>
                <a:lnTo>
                  <a:pt x="904" y="1359"/>
                </a:lnTo>
                <a:lnTo>
                  <a:pt x="882" y="1371"/>
                </a:lnTo>
                <a:lnTo>
                  <a:pt x="858" y="1382"/>
                </a:lnTo>
                <a:lnTo>
                  <a:pt x="834" y="1391"/>
                </a:lnTo>
                <a:lnTo>
                  <a:pt x="808" y="1400"/>
                </a:lnTo>
                <a:lnTo>
                  <a:pt x="781" y="1407"/>
                </a:lnTo>
                <a:lnTo>
                  <a:pt x="753" y="1415"/>
                </a:lnTo>
                <a:lnTo>
                  <a:pt x="724" y="1420"/>
                </a:lnTo>
                <a:lnTo>
                  <a:pt x="663" y="1429"/>
                </a:lnTo>
                <a:lnTo>
                  <a:pt x="599" y="1435"/>
                </a:lnTo>
                <a:lnTo>
                  <a:pt x="529" y="1437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blackGray">
          <a:xfrm>
            <a:off x="7695907" y="447385"/>
            <a:ext cx="71216" cy="80704"/>
          </a:xfrm>
          <a:custGeom>
            <a:avLst/>
            <a:gdLst>
              <a:gd name="T0" fmla="*/ 0 w 550"/>
              <a:gd name="T1" fmla="*/ 0 h 622"/>
              <a:gd name="T2" fmla="*/ 0 w 550"/>
              <a:gd name="T3" fmla="*/ 330 h 622"/>
              <a:gd name="T4" fmla="*/ 0 w 550"/>
              <a:gd name="T5" fmla="*/ 330 h 622"/>
              <a:gd name="T6" fmla="*/ 2 w 550"/>
              <a:gd name="T7" fmla="*/ 416 h 622"/>
              <a:gd name="T8" fmla="*/ 5 w 550"/>
              <a:gd name="T9" fmla="*/ 451 h 622"/>
              <a:gd name="T10" fmla="*/ 9 w 550"/>
              <a:gd name="T11" fmla="*/ 482 h 622"/>
              <a:gd name="T12" fmla="*/ 13 w 550"/>
              <a:gd name="T13" fmla="*/ 510 h 622"/>
              <a:gd name="T14" fmla="*/ 20 w 550"/>
              <a:gd name="T15" fmla="*/ 534 h 622"/>
              <a:gd name="T16" fmla="*/ 27 w 550"/>
              <a:gd name="T17" fmla="*/ 554 h 622"/>
              <a:gd name="T18" fmla="*/ 37 w 550"/>
              <a:gd name="T19" fmla="*/ 571 h 622"/>
              <a:gd name="T20" fmla="*/ 48 w 550"/>
              <a:gd name="T21" fmla="*/ 586 h 622"/>
              <a:gd name="T22" fmla="*/ 59 w 550"/>
              <a:gd name="T23" fmla="*/ 597 h 622"/>
              <a:gd name="T24" fmla="*/ 73 w 550"/>
              <a:gd name="T25" fmla="*/ 606 h 622"/>
              <a:gd name="T26" fmla="*/ 90 w 550"/>
              <a:gd name="T27" fmla="*/ 613 h 622"/>
              <a:gd name="T28" fmla="*/ 108 w 550"/>
              <a:gd name="T29" fmla="*/ 617 h 622"/>
              <a:gd name="T30" fmla="*/ 129 w 550"/>
              <a:gd name="T31" fmla="*/ 621 h 622"/>
              <a:gd name="T32" fmla="*/ 151 w 550"/>
              <a:gd name="T33" fmla="*/ 622 h 622"/>
              <a:gd name="T34" fmla="*/ 175 w 550"/>
              <a:gd name="T35" fmla="*/ 622 h 622"/>
              <a:gd name="T36" fmla="*/ 175 w 550"/>
              <a:gd name="T37" fmla="*/ 622 h 622"/>
              <a:gd name="T38" fmla="*/ 219 w 550"/>
              <a:gd name="T39" fmla="*/ 622 h 622"/>
              <a:gd name="T40" fmla="*/ 261 w 550"/>
              <a:gd name="T41" fmla="*/ 619 h 622"/>
              <a:gd name="T42" fmla="*/ 300 w 550"/>
              <a:gd name="T43" fmla="*/ 613 h 622"/>
              <a:gd name="T44" fmla="*/ 337 w 550"/>
              <a:gd name="T45" fmla="*/ 604 h 622"/>
              <a:gd name="T46" fmla="*/ 370 w 550"/>
              <a:gd name="T47" fmla="*/ 595 h 622"/>
              <a:gd name="T48" fmla="*/ 399 w 550"/>
              <a:gd name="T49" fmla="*/ 582 h 622"/>
              <a:gd name="T50" fmla="*/ 429 w 550"/>
              <a:gd name="T51" fmla="*/ 565 h 622"/>
              <a:gd name="T52" fmla="*/ 453 w 550"/>
              <a:gd name="T53" fmla="*/ 549 h 622"/>
              <a:gd name="T54" fmla="*/ 475 w 550"/>
              <a:gd name="T55" fmla="*/ 529 h 622"/>
              <a:gd name="T56" fmla="*/ 495 w 550"/>
              <a:gd name="T57" fmla="*/ 506 h 622"/>
              <a:gd name="T58" fmla="*/ 512 w 550"/>
              <a:gd name="T59" fmla="*/ 481 h 622"/>
              <a:gd name="T60" fmla="*/ 524 w 550"/>
              <a:gd name="T61" fmla="*/ 453 h 622"/>
              <a:gd name="T62" fmla="*/ 536 w 550"/>
              <a:gd name="T63" fmla="*/ 424 h 622"/>
              <a:gd name="T64" fmla="*/ 543 w 550"/>
              <a:gd name="T65" fmla="*/ 390 h 622"/>
              <a:gd name="T66" fmla="*/ 548 w 550"/>
              <a:gd name="T67" fmla="*/ 355 h 622"/>
              <a:gd name="T68" fmla="*/ 550 w 550"/>
              <a:gd name="T69" fmla="*/ 317 h 622"/>
              <a:gd name="T70" fmla="*/ 550 w 550"/>
              <a:gd name="T71" fmla="*/ 317 h 622"/>
              <a:gd name="T72" fmla="*/ 548 w 550"/>
              <a:gd name="T73" fmla="*/ 289 h 622"/>
              <a:gd name="T74" fmla="*/ 547 w 550"/>
              <a:gd name="T75" fmla="*/ 263 h 622"/>
              <a:gd name="T76" fmla="*/ 543 w 550"/>
              <a:gd name="T77" fmla="*/ 239 h 622"/>
              <a:gd name="T78" fmla="*/ 539 w 550"/>
              <a:gd name="T79" fmla="*/ 215 h 622"/>
              <a:gd name="T80" fmla="*/ 534 w 550"/>
              <a:gd name="T81" fmla="*/ 195 h 622"/>
              <a:gd name="T82" fmla="*/ 526 w 550"/>
              <a:gd name="T83" fmla="*/ 175 h 622"/>
              <a:gd name="T84" fmla="*/ 519 w 550"/>
              <a:gd name="T85" fmla="*/ 157 h 622"/>
              <a:gd name="T86" fmla="*/ 510 w 550"/>
              <a:gd name="T87" fmla="*/ 140 h 622"/>
              <a:gd name="T88" fmla="*/ 499 w 550"/>
              <a:gd name="T89" fmla="*/ 123 h 622"/>
              <a:gd name="T90" fmla="*/ 488 w 550"/>
              <a:gd name="T91" fmla="*/ 109 h 622"/>
              <a:gd name="T92" fmla="*/ 475 w 550"/>
              <a:gd name="T93" fmla="*/ 96 h 622"/>
              <a:gd name="T94" fmla="*/ 462 w 550"/>
              <a:gd name="T95" fmla="*/ 83 h 622"/>
              <a:gd name="T96" fmla="*/ 447 w 550"/>
              <a:gd name="T97" fmla="*/ 72 h 622"/>
              <a:gd name="T98" fmla="*/ 432 w 550"/>
              <a:gd name="T99" fmla="*/ 63 h 622"/>
              <a:gd name="T100" fmla="*/ 416 w 550"/>
              <a:gd name="T101" fmla="*/ 53 h 622"/>
              <a:gd name="T102" fmla="*/ 399 w 550"/>
              <a:gd name="T103" fmla="*/ 44 h 622"/>
              <a:gd name="T104" fmla="*/ 362 w 550"/>
              <a:gd name="T105" fmla="*/ 31 h 622"/>
              <a:gd name="T106" fmla="*/ 322 w 550"/>
              <a:gd name="T107" fmla="*/ 20 h 622"/>
              <a:gd name="T108" fmla="*/ 278 w 550"/>
              <a:gd name="T109" fmla="*/ 13 h 622"/>
              <a:gd name="T110" fmla="*/ 232 w 550"/>
              <a:gd name="T111" fmla="*/ 7 h 622"/>
              <a:gd name="T112" fmla="*/ 184 w 550"/>
              <a:gd name="T113" fmla="*/ 4 h 622"/>
              <a:gd name="T114" fmla="*/ 134 w 550"/>
              <a:gd name="T115" fmla="*/ 2 h 622"/>
              <a:gd name="T116" fmla="*/ 26 w 550"/>
              <a:gd name="T117" fmla="*/ 0 h 622"/>
              <a:gd name="T118" fmla="*/ 0 w 550"/>
              <a:gd name="T119" fmla="*/ 0 h 6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50" h="622">
                <a:moveTo>
                  <a:pt x="0" y="0"/>
                </a:moveTo>
                <a:lnTo>
                  <a:pt x="0" y="330"/>
                </a:lnTo>
                <a:lnTo>
                  <a:pt x="0" y="330"/>
                </a:lnTo>
                <a:lnTo>
                  <a:pt x="2" y="416"/>
                </a:lnTo>
                <a:lnTo>
                  <a:pt x="5" y="451"/>
                </a:lnTo>
                <a:lnTo>
                  <a:pt x="9" y="482"/>
                </a:lnTo>
                <a:lnTo>
                  <a:pt x="13" y="510"/>
                </a:lnTo>
                <a:lnTo>
                  <a:pt x="20" y="534"/>
                </a:lnTo>
                <a:lnTo>
                  <a:pt x="27" y="554"/>
                </a:lnTo>
                <a:lnTo>
                  <a:pt x="37" y="571"/>
                </a:lnTo>
                <a:lnTo>
                  <a:pt x="48" y="586"/>
                </a:lnTo>
                <a:lnTo>
                  <a:pt x="59" y="597"/>
                </a:lnTo>
                <a:lnTo>
                  <a:pt x="73" y="606"/>
                </a:lnTo>
                <a:lnTo>
                  <a:pt x="90" y="613"/>
                </a:lnTo>
                <a:lnTo>
                  <a:pt x="108" y="617"/>
                </a:lnTo>
                <a:lnTo>
                  <a:pt x="129" y="621"/>
                </a:lnTo>
                <a:lnTo>
                  <a:pt x="151" y="622"/>
                </a:lnTo>
                <a:lnTo>
                  <a:pt x="175" y="622"/>
                </a:lnTo>
                <a:lnTo>
                  <a:pt x="175" y="622"/>
                </a:lnTo>
                <a:lnTo>
                  <a:pt x="219" y="622"/>
                </a:lnTo>
                <a:lnTo>
                  <a:pt x="261" y="619"/>
                </a:lnTo>
                <a:lnTo>
                  <a:pt x="300" y="613"/>
                </a:lnTo>
                <a:lnTo>
                  <a:pt x="337" y="604"/>
                </a:lnTo>
                <a:lnTo>
                  <a:pt x="370" y="595"/>
                </a:lnTo>
                <a:lnTo>
                  <a:pt x="399" y="582"/>
                </a:lnTo>
                <a:lnTo>
                  <a:pt x="429" y="565"/>
                </a:lnTo>
                <a:lnTo>
                  <a:pt x="453" y="549"/>
                </a:lnTo>
                <a:lnTo>
                  <a:pt x="475" y="529"/>
                </a:lnTo>
                <a:lnTo>
                  <a:pt x="495" y="506"/>
                </a:lnTo>
                <a:lnTo>
                  <a:pt x="512" y="481"/>
                </a:lnTo>
                <a:lnTo>
                  <a:pt x="524" y="453"/>
                </a:lnTo>
                <a:lnTo>
                  <a:pt x="536" y="424"/>
                </a:lnTo>
                <a:lnTo>
                  <a:pt x="543" y="390"/>
                </a:lnTo>
                <a:lnTo>
                  <a:pt x="548" y="355"/>
                </a:lnTo>
                <a:lnTo>
                  <a:pt x="550" y="317"/>
                </a:lnTo>
                <a:lnTo>
                  <a:pt x="550" y="317"/>
                </a:lnTo>
                <a:lnTo>
                  <a:pt x="548" y="289"/>
                </a:lnTo>
                <a:lnTo>
                  <a:pt x="547" y="263"/>
                </a:lnTo>
                <a:lnTo>
                  <a:pt x="543" y="239"/>
                </a:lnTo>
                <a:lnTo>
                  <a:pt x="539" y="215"/>
                </a:lnTo>
                <a:lnTo>
                  <a:pt x="534" y="195"/>
                </a:lnTo>
                <a:lnTo>
                  <a:pt x="526" y="175"/>
                </a:lnTo>
                <a:lnTo>
                  <a:pt x="519" y="157"/>
                </a:lnTo>
                <a:lnTo>
                  <a:pt x="510" y="140"/>
                </a:lnTo>
                <a:lnTo>
                  <a:pt x="499" y="123"/>
                </a:lnTo>
                <a:lnTo>
                  <a:pt x="488" y="109"/>
                </a:lnTo>
                <a:lnTo>
                  <a:pt x="475" y="96"/>
                </a:lnTo>
                <a:lnTo>
                  <a:pt x="462" y="83"/>
                </a:lnTo>
                <a:lnTo>
                  <a:pt x="447" y="72"/>
                </a:lnTo>
                <a:lnTo>
                  <a:pt x="432" y="63"/>
                </a:lnTo>
                <a:lnTo>
                  <a:pt x="416" y="53"/>
                </a:lnTo>
                <a:lnTo>
                  <a:pt x="399" y="44"/>
                </a:lnTo>
                <a:lnTo>
                  <a:pt x="362" y="31"/>
                </a:lnTo>
                <a:lnTo>
                  <a:pt x="322" y="20"/>
                </a:lnTo>
                <a:lnTo>
                  <a:pt x="278" y="13"/>
                </a:lnTo>
                <a:lnTo>
                  <a:pt x="232" y="7"/>
                </a:lnTo>
                <a:lnTo>
                  <a:pt x="184" y="4"/>
                </a:lnTo>
                <a:lnTo>
                  <a:pt x="134" y="2"/>
                </a:lnTo>
                <a:lnTo>
                  <a:pt x="26" y="0"/>
                </a:lnTo>
                <a:lnTo>
                  <a:pt x="0" y="0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blackGray">
          <a:xfrm>
            <a:off x="7695907" y="370115"/>
            <a:ext cx="63494" cy="63533"/>
          </a:xfrm>
          <a:custGeom>
            <a:avLst/>
            <a:gdLst>
              <a:gd name="T0" fmla="*/ 0 w 490"/>
              <a:gd name="T1" fmla="*/ 490 h 490"/>
              <a:gd name="T2" fmla="*/ 48 w 490"/>
              <a:gd name="T3" fmla="*/ 490 h 490"/>
              <a:gd name="T4" fmla="*/ 48 w 490"/>
              <a:gd name="T5" fmla="*/ 490 h 490"/>
              <a:gd name="T6" fmla="*/ 118 w 490"/>
              <a:gd name="T7" fmla="*/ 488 h 490"/>
              <a:gd name="T8" fmla="*/ 154 w 490"/>
              <a:gd name="T9" fmla="*/ 484 h 490"/>
              <a:gd name="T10" fmla="*/ 191 w 490"/>
              <a:gd name="T11" fmla="*/ 481 h 490"/>
              <a:gd name="T12" fmla="*/ 228 w 490"/>
              <a:gd name="T13" fmla="*/ 475 h 490"/>
              <a:gd name="T14" fmla="*/ 265 w 490"/>
              <a:gd name="T15" fmla="*/ 468 h 490"/>
              <a:gd name="T16" fmla="*/ 300 w 490"/>
              <a:gd name="T17" fmla="*/ 458 h 490"/>
              <a:gd name="T18" fmla="*/ 335 w 490"/>
              <a:gd name="T19" fmla="*/ 446 h 490"/>
              <a:gd name="T20" fmla="*/ 366 w 490"/>
              <a:gd name="T21" fmla="*/ 429 h 490"/>
              <a:gd name="T22" fmla="*/ 381 w 490"/>
              <a:gd name="T23" fmla="*/ 420 h 490"/>
              <a:gd name="T24" fmla="*/ 396 w 490"/>
              <a:gd name="T25" fmla="*/ 411 h 490"/>
              <a:gd name="T26" fmla="*/ 410 w 490"/>
              <a:gd name="T27" fmla="*/ 399 h 490"/>
              <a:gd name="T28" fmla="*/ 421 w 490"/>
              <a:gd name="T29" fmla="*/ 388 h 490"/>
              <a:gd name="T30" fmla="*/ 434 w 490"/>
              <a:gd name="T31" fmla="*/ 376 h 490"/>
              <a:gd name="T32" fmla="*/ 445 w 490"/>
              <a:gd name="T33" fmla="*/ 361 h 490"/>
              <a:gd name="T34" fmla="*/ 455 w 490"/>
              <a:gd name="T35" fmla="*/ 346 h 490"/>
              <a:gd name="T36" fmla="*/ 464 w 490"/>
              <a:gd name="T37" fmla="*/ 331 h 490"/>
              <a:gd name="T38" fmla="*/ 471 w 490"/>
              <a:gd name="T39" fmla="*/ 313 h 490"/>
              <a:gd name="T40" fmla="*/ 477 w 490"/>
              <a:gd name="T41" fmla="*/ 296 h 490"/>
              <a:gd name="T42" fmla="*/ 482 w 490"/>
              <a:gd name="T43" fmla="*/ 276 h 490"/>
              <a:gd name="T44" fmla="*/ 486 w 490"/>
              <a:gd name="T45" fmla="*/ 256 h 490"/>
              <a:gd name="T46" fmla="*/ 488 w 490"/>
              <a:gd name="T47" fmla="*/ 234 h 490"/>
              <a:gd name="T48" fmla="*/ 490 w 490"/>
              <a:gd name="T49" fmla="*/ 212 h 490"/>
              <a:gd name="T50" fmla="*/ 490 w 490"/>
              <a:gd name="T51" fmla="*/ 212 h 490"/>
              <a:gd name="T52" fmla="*/ 488 w 490"/>
              <a:gd name="T53" fmla="*/ 180 h 490"/>
              <a:gd name="T54" fmla="*/ 484 w 490"/>
              <a:gd name="T55" fmla="*/ 151 h 490"/>
              <a:gd name="T56" fmla="*/ 477 w 490"/>
              <a:gd name="T57" fmla="*/ 127 h 490"/>
              <a:gd name="T58" fmla="*/ 466 w 490"/>
              <a:gd name="T59" fmla="*/ 105 h 490"/>
              <a:gd name="T60" fmla="*/ 453 w 490"/>
              <a:gd name="T61" fmla="*/ 85 h 490"/>
              <a:gd name="T62" fmla="*/ 438 w 490"/>
              <a:gd name="T63" fmla="*/ 68 h 490"/>
              <a:gd name="T64" fmla="*/ 420 w 490"/>
              <a:gd name="T65" fmla="*/ 53 h 490"/>
              <a:gd name="T66" fmla="*/ 399 w 490"/>
              <a:gd name="T67" fmla="*/ 40 h 490"/>
              <a:gd name="T68" fmla="*/ 377 w 490"/>
              <a:gd name="T69" fmla="*/ 29 h 490"/>
              <a:gd name="T70" fmla="*/ 351 w 490"/>
              <a:gd name="T71" fmla="*/ 20 h 490"/>
              <a:gd name="T72" fmla="*/ 326 w 490"/>
              <a:gd name="T73" fmla="*/ 15 h 490"/>
              <a:gd name="T74" fmla="*/ 296 w 490"/>
              <a:gd name="T75" fmla="*/ 9 h 490"/>
              <a:gd name="T76" fmla="*/ 267 w 490"/>
              <a:gd name="T77" fmla="*/ 5 h 490"/>
              <a:gd name="T78" fmla="*/ 234 w 490"/>
              <a:gd name="T79" fmla="*/ 2 h 490"/>
              <a:gd name="T80" fmla="*/ 164 w 490"/>
              <a:gd name="T81" fmla="*/ 0 h 490"/>
              <a:gd name="T82" fmla="*/ 164 w 490"/>
              <a:gd name="T83" fmla="*/ 0 h 490"/>
              <a:gd name="T84" fmla="*/ 85 w 490"/>
              <a:gd name="T85" fmla="*/ 4 h 490"/>
              <a:gd name="T86" fmla="*/ 0 w 490"/>
              <a:gd name="T87" fmla="*/ 9 h 490"/>
              <a:gd name="T88" fmla="*/ 0 w 490"/>
              <a:gd name="T89" fmla="*/ 490 h 4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490" h="490">
                <a:moveTo>
                  <a:pt x="0" y="490"/>
                </a:moveTo>
                <a:lnTo>
                  <a:pt x="48" y="490"/>
                </a:lnTo>
                <a:lnTo>
                  <a:pt x="48" y="490"/>
                </a:lnTo>
                <a:lnTo>
                  <a:pt x="118" y="488"/>
                </a:lnTo>
                <a:lnTo>
                  <a:pt x="154" y="484"/>
                </a:lnTo>
                <a:lnTo>
                  <a:pt x="191" y="481"/>
                </a:lnTo>
                <a:lnTo>
                  <a:pt x="228" y="475"/>
                </a:lnTo>
                <a:lnTo>
                  <a:pt x="265" y="468"/>
                </a:lnTo>
                <a:lnTo>
                  <a:pt x="300" y="458"/>
                </a:lnTo>
                <a:lnTo>
                  <a:pt x="335" y="446"/>
                </a:lnTo>
                <a:lnTo>
                  <a:pt x="366" y="429"/>
                </a:lnTo>
                <a:lnTo>
                  <a:pt x="381" y="420"/>
                </a:lnTo>
                <a:lnTo>
                  <a:pt x="396" y="411"/>
                </a:lnTo>
                <a:lnTo>
                  <a:pt x="410" y="399"/>
                </a:lnTo>
                <a:lnTo>
                  <a:pt x="421" y="388"/>
                </a:lnTo>
                <a:lnTo>
                  <a:pt x="434" y="376"/>
                </a:lnTo>
                <a:lnTo>
                  <a:pt x="445" y="361"/>
                </a:lnTo>
                <a:lnTo>
                  <a:pt x="455" y="346"/>
                </a:lnTo>
                <a:lnTo>
                  <a:pt x="464" y="331"/>
                </a:lnTo>
                <a:lnTo>
                  <a:pt x="471" y="313"/>
                </a:lnTo>
                <a:lnTo>
                  <a:pt x="477" y="296"/>
                </a:lnTo>
                <a:lnTo>
                  <a:pt x="482" y="276"/>
                </a:lnTo>
                <a:lnTo>
                  <a:pt x="486" y="256"/>
                </a:lnTo>
                <a:lnTo>
                  <a:pt x="488" y="234"/>
                </a:lnTo>
                <a:lnTo>
                  <a:pt x="490" y="212"/>
                </a:lnTo>
                <a:lnTo>
                  <a:pt x="490" y="212"/>
                </a:lnTo>
                <a:lnTo>
                  <a:pt x="488" y="180"/>
                </a:lnTo>
                <a:lnTo>
                  <a:pt x="484" y="151"/>
                </a:lnTo>
                <a:lnTo>
                  <a:pt x="477" y="127"/>
                </a:lnTo>
                <a:lnTo>
                  <a:pt x="466" y="105"/>
                </a:lnTo>
                <a:lnTo>
                  <a:pt x="453" y="85"/>
                </a:lnTo>
                <a:lnTo>
                  <a:pt x="438" y="68"/>
                </a:lnTo>
                <a:lnTo>
                  <a:pt x="420" y="53"/>
                </a:lnTo>
                <a:lnTo>
                  <a:pt x="399" y="40"/>
                </a:lnTo>
                <a:lnTo>
                  <a:pt x="377" y="29"/>
                </a:lnTo>
                <a:lnTo>
                  <a:pt x="351" y="20"/>
                </a:lnTo>
                <a:lnTo>
                  <a:pt x="326" y="15"/>
                </a:lnTo>
                <a:lnTo>
                  <a:pt x="296" y="9"/>
                </a:lnTo>
                <a:lnTo>
                  <a:pt x="267" y="5"/>
                </a:lnTo>
                <a:lnTo>
                  <a:pt x="234" y="2"/>
                </a:lnTo>
                <a:lnTo>
                  <a:pt x="164" y="0"/>
                </a:lnTo>
                <a:lnTo>
                  <a:pt x="164" y="0"/>
                </a:lnTo>
                <a:lnTo>
                  <a:pt x="85" y="4"/>
                </a:lnTo>
                <a:lnTo>
                  <a:pt x="0" y="9"/>
                </a:lnTo>
                <a:lnTo>
                  <a:pt x="0" y="490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/>
          </xdr:cNvSpPr>
        </xdr:nvSpPr>
        <xdr:spPr bwMode="blackGray">
          <a:xfrm>
            <a:off x="7792864" y="358954"/>
            <a:ext cx="159593" cy="182872"/>
          </a:xfrm>
          <a:custGeom>
            <a:avLst/>
            <a:gdLst>
              <a:gd name="T0" fmla="*/ 737 w 1234"/>
              <a:gd name="T1" fmla="*/ 1406 h 1406"/>
              <a:gd name="T2" fmla="*/ 392 w 1234"/>
              <a:gd name="T3" fmla="*/ 1406 h 1406"/>
              <a:gd name="T4" fmla="*/ 404 w 1234"/>
              <a:gd name="T5" fmla="*/ 1387 h 1406"/>
              <a:gd name="T6" fmla="*/ 404 w 1234"/>
              <a:gd name="T7" fmla="*/ 1387 h 1406"/>
              <a:gd name="T8" fmla="*/ 413 w 1234"/>
              <a:gd name="T9" fmla="*/ 1372 h 1406"/>
              <a:gd name="T10" fmla="*/ 420 w 1234"/>
              <a:gd name="T11" fmla="*/ 1358 h 1406"/>
              <a:gd name="T12" fmla="*/ 426 w 1234"/>
              <a:gd name="T13" fmla="*/ 1343 h 1406"/>
              <a:gd name="T14" fmla="*/ 431 w 1234"/>
              <a:gd name="T15" fmla="*/ 1326 h 1406"/>
              <a:gd name="T16" fmla="*/ 440 w 1234"/>
              <a:gd name="T17" fmla="*/ 1293 h 1406"/>
              <a:gd name="T18" fmla="*/ 446 w 1234"/>
              <a:gd name="T19" fmla="*/ 1258 h 1406"/>
              <a:gd name="T20" fmla="*/ 450 w 1234"/>
              <a:gd name="T21" fmla="*/ 1221 h 1406"/>
              <a:gd name="T22" fmla="*/ 451 w 1234"/>
              <a:gd name="T23" fmla="*/ 1185 h 1406"/>
              <a:gd name="T24" fmla="*/ 451 w 1234"/>
              <a:gd name="T25" fmla="*/ 1109 h 1406"/>
              <a:gd name="T26" fmla="*/ 451 w 1234"/>
              <a:gd name="T27" fmla="*/ 133 h 1406"/>
              <a:gd name="T28" fmla="*/ 234 w 1234"/>
              <a:gd name="T29" fmla="*/ 133 h 1406"/>
              <a:gd name="T30" fmla="*/ 234 w 1234"/>
              <a:gd name="T31" fmla="*/ 133 h 1406"/>
              <a:gd name="T32" fmla="*/ 194 w 1234"/>
              <a:gd name="T33" fmla="*/ 135 h 1406"/>
              <a:gd name="T34" fmla="*/ 175 w 1234"/>
              <a:gd name="T35" fmla="*/ 137 h 1406"/>
              <a:gd name="T36" fmla="*/ 157 w 1234"/>
              <a:gd name="T37" fmla="*/ 142 h 1406"/>
              <a:gd name="T38" fmla="*/ 138 w 1234"/>
              <a:gd name="T39" fmla="*/ 148 h 1406"/>
              <a:gd name="T40" fmla="*/ 120 w 1234"/>
              <a:gd name="T41" fmla="*/ 155 h 1406"/>
              <a:gd name="T42" fmla="*/ 102 w 1234"/>
              <a:gd name="T43" fmla="*/ 166 h 1406"/>
              <a:gd name="T44" fmla="*/ 83 w 1234"/>
              <a:gd name="T45" fmla="*/ 177 h 1406"/>
              <a:gd name="T46" fmla="*/ 70 w 1234"/>
              <a:gd name="T47" fmla="*/ 188 h 1406"/>
              <a:gd name="T48" fmla="*/ 0 w 1234"/>
              <a:gd name="T49" fmla="*/ 0 h 1406"/>
              <a:gd name="T50" fmla="*/ 1234 w 1234"/>
              <a:gd name="T51" fmla="*/ 0 h 1406"/>
              <a:gd name="T52" fmla="*/ 1228 w 1234"/>
              <a:gd name="T53" fmla="*/ 17 h 1406"/>
              <a:gd name="T54" fmla="*/ 1228 w 1234"/>
              <a:gd name="T55" fmla="*/ 17 h 1406"/>
              <a:gd name="T56" fmla="*/ 1221 w 1234"/>
              <a:gd name="T57" fmla="*/ 30 h 1406"/>
              <a:gd name="T58" fmla="*/ 1214 w 1234"/>
              <a:gd name="T59" fmla="*/ 43 h 1406"/>
              <a:gd name="T60" fmla="*/ 1206 w 1234"/>
              <a:gd name="T61" fmla="*/ 56 h 1406"/>
              <a:gd name="T62" fmla="*/ 1195 w 1234"/>
              <a:gd name="T63" fmla="*/ 67 h 1406"/>
              <a:gd name="T64" fmla="*/ 1182 w 1234"/>
              <a:gd name="T65" fmla="*/ 78 h 1406"/>
              <a:gd name="T66" fmla="*/ 1169 w 1234"/>
              <a:gd name="T67" fmla="*/ 87 h 1406"/>
              <a:gd name="T68" fmla="*/ 1155 w 1234"/>
              <a:gd name="T69" fmla="*/ 96 h 1406"/>
              <a:gd name="T70" fmla="*/ 1138 w 1234"/>
              <a:gd name="T71" fmla="*/ 104 h 1406"/>
              <a:gd name="T72" fmla="*/ 1120 w 1234"/>
              <a:gd name="T73" fmla="*/ 111 h 1406"/>
              <a:gd name="T74" fmla="*/ 1099 w 1234"/>
              <a:gd name="T75" fmla="*/ 116 h 1406"/>
              <a:gd name="T76" fmla="*/ 1079 w 1234"/>
              <a:gd name="T77" fmla="*/ 122 h 1406"/>
              <a:gd name="T78" fmla="*/ 1055 w 1234"/>
              <a:gd name="T79" fmla="*/ 126 h 1406"/>
              <a:gd name="T80" fmla="*/ 1005 w 1234"/>
              <a:gd name="T81" fmla="*/ 131 h 1406"/>
              <a:gd name="T82" fmla="*/ 950 w 1234"/>
              <a:gd name="T83" fmla="*/ 133 h 1406"/>
              <a:gd name="T84" fmla="*/ 678 w 1234"/>
              <a:gd name="T85" fmla="*/ 133 h 1406"/>
              <a:gd name="T86" fmla="*/ 678 w 1234"/>
              <a:gd name="T87" fmla="*/ 1109 h 1406"/>
              <a:gd name="T88" fmla="*/ 678 w 1234"/>
              <a:gd name="T89" fmla="*/ 1109 h 1406"/>
              <a:gd name="T90" fmla="*/ 678 w 1234"/>
              <a:gd name="T91" fmla="*/ 1185 h 1406"/>
              <a:gd name="T92" fmla="*/ 680 w 1234"/>
              <a:gd name="T93" fmla="*/ 1221 h 1406"/>
              <a:gd name="T94" fmla="*/ 683 w 1234"/>
              <a:gd name="T95" fmla="*/ 1258 h 1406"/>
              <a:gd name="T96" fmla="*/ 689 w 1234"/>
              <a:gd name="T97" fmla="*/ 1293 h 1406"/>
              <a:gd name="T98" fmla="*/ 696 w 1234"/>
              <a:gd name="T99" fmla="*/ 1326 h 1406"/>
              <a:gd name="T100" fmla="*/ 702 w 1234"/>
              <a:gd name="T101" fmla="*/ 1343 h 1406"/>
              <a:gd name="T102" fmla="*/ 709 w 1234"/>
              <a:gd name="T103" fmla="*/ 1358 h 1406"/>
              <a:gd name="T104" fmla="*/ 716 w 1234"/>
              <a:gd name="T105" fmla="*/ 1372 h 1406"/>
              <a:gd name="T106" fmla="*/ 724 w 1234"/>
              <a:gd name="T107" fmla="*/ 1387 h 1406"/>
              <a:gd name="T108" fmla="*/ 737 w 1234"/>
              <a:gd name="T109" fmla="*/ 1406 h 1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234" h="1406">
                <a:moveTo>
                  <a:pt x="737" y="1406"/>
                </a:moveTo>
                <a:lnTo>
                  <a:pt x="392" y="1406"/>
                </a:lnTo>
                <a:lnTo>
                  <a:pt x="404" y="1387"/>
                </a:lnTo>
                <a:lnTo>
                  <a:pt x="404" y="1387"/>
                </a:lnTo>
                <a:lnTo>
                  <a:pt x="413" y="1372"/>
                </a:lnTo>
                <a:lnTo>
                  <a:pt x="420" y="1358"/>
                </a:lnTo>
                <a:lnTo>
                  <a:pt x="426" y="1343"/>
                </a:lnTo>
                <a:lnTo>
                  <a:pt x="431" y="1326"/>
                </a:lnTo>
                <a:lnTo>
                  <a:pt x="440" y="1293"/>
                </a:lnTo>
                <a:lnTo>
                  <a:pt x="446" y="1258"/>
                </a:lnTo>
                <a:lnTo>
                  <a:pt x="450" y="1221"/>
                </a:lnTo>
                <a:lnTo>
                  <a:pt x="451" y="1185"/>
                </a:lnTo>
                <a:lnTo>
                  <a:pt x="451" y="1109"/>
                </a:lnTo>
                <a:lnTo>
                  <a:pt x="451" y="133"/>
                </a:lnTo>
                <a:lnTo>
                  <a:pt x="234" y="133"/>
                </a:lnTo>
                <a:lnTo>
                  <a:pt x="234" y="133"/>
                </a:lnTo>
                <a:lnTo>
                  <a:pt x="194" y="135"/>
                </a:lnTo>
                <a:lnTo>
                  <a:pt x="175" y="137"/>
                </a:lnTo>
                <a:lnTo>
                  <a:pt x="157" y="142"/>
                </a:lnTo>
                <a:lnTo>
                  <a:pt x="138" y="148"/>
                </a:lnTo>
                <a:lnTo>
                  <a:pt x="120" y="155"/>
                </a:lnTo>
                <a:lnTo>
                  <a:pt x="102" y="166"/>
                </a:lnTo>
                <a:lnTo>
                  <a:pt x="83" y="177"/>
                </a:lnTo>
                <a:lnTo>
                  <a:pt x="70" y="188"/>
                </a:lnTo>
                <a:lnTo>
                  <a:pt x="0" y="0"/>
                </a:lnTo>
                <a:lnTo>
                  <a:pt x="1234" y="0"/>
                </a:lnTo>
                <a:lnTo>
                  <a:pt x="1228" y="17"/>
                </a:lnTo>
                <a:lnTo>
                  <a:pt x="1228" y="17"/>
                </a:lnTo>
                <a:lnTo>
                  <a:pt x="1221" y="30"/>
                </a:lnTo>
                <a:lnTo>
                  <a:pt x="1214" y="43"/>
                </a:lnTo>
                <a:lnTo>
                  <a:pt x="1206" y="56"/>
                </a:lnTo>
                <a:lnTo>
                  <a:pt x="1195" y="67"/>
                </a:lnTo>
                <a:lnTo>
                  <a:pt x="1182" y="78"/>
                </a:lnTo>
                <a:lnTo>
                  <a:pt x="1169" y="87"/>
                </a:lnTo>
                <a:lnTo>
                  <a:pt x="1155" y="96"/>
                </a:lnTo>
                <a:lnTo>
                  <a:pt x="1138" y="104"/>
                </a:lnTo>
                <a:lnTo>
                  <a:pt x="1120" y="111"/>
                </a:lnTo>
                <a:lnTo>
                  <a:pt x="1099" y="116"/>
                </a:lnTo>
                <a:lnTo>
                  <a:pt x="1079" y="122"/>
                </a:lnTo>
                <a:lnTo>
                  <a:pt x="1055" y="126"/>
                </a:lnTo>
                <a:lnTo>
                  <a:pt x="1005" y="131"/>
                </a:lnTo>
                <a:lnTo>
                  <a:pt x="950" y="133"/>
                </a:lnTo>
                <a:lnTo>
                  <a:pt x="678" y="133"/>
                </a:lnTo>
                <a:lnTo>
                  <a:pt x="678" y="1109"/>
                </a:lnTo>
                <a:lnTo>
                  <a:pt x="678" y="1109"/>
                </a:lnTo>
                <a:lnTo>
                  <a:pt x="678" y="1185"/>
                </a:lnTo>
                <a:lnTo>
                  <a:pt x="680" y="1221"/>
                </a:lnTo>
                <a:lnTo>
                  <a:pt x="683" y="1258"/>
                </a:lnTo>
                <a:lnTo>
                  <a:pt x="689" y="1293"/>
                </a:lnTo>
                <a:lnTo>
                  <a:pt x="696" y="1326"/>
                </a:lnTo>
                <a:lnTo>
                  <a:pt x="702" y="1343"/>
                </a:lnTo>
                <a:lnTo>
                  <a:pt x="709" y="1358"/>
                </a:lnTo>
                <a:lnTo>
                  <a:pt x="716" y="1372"/>
                </a:lnTo>
                <a:lnTo>
                  <a:pt x="724" y="1387"/>
                </a:lnTo>
                <a:lnTo>
                  <a:pt x="737" y="1406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blackGray">
          <a:xfrm>
            <a:off x="7914704" y="354661"/>
            <a:ext cx="160451" cy="190600"/>
          </a:xfrm>
          <a:custGeom>
            <a:avLst/>
            <a:gdLst>
              <a:gd name="T0" fmla="*/ 653 w 1233"/>
              <a:gd name="T1" fmla="*/ 1470 h 1472"/>
              <a:gd name="T2" fmla="*/ 493 w 1233"/>
              <a:gd name="T3" fmla="*/ 1446 h 1472"/>
              <a:gd name="T4" fmla="*/ 355 w 1233"/>
              <a:gd name="T5" fmla="*/ 1402 h 1472"/>
              <a:gd name="T6" fmla="*/ 239 w 1233"/>
              <a:gd name="T7" fmla="*/ 1336 h 1472"/>
              <a:gd name="T8" fmla="*/ 145 w 1233"/>
              <a:gd name="T9" fmla="*/ 1247 h 1472"/>
              <a:gd name="T10" fmla="*/ 74 w 1233"/>
              <a:gd name="T11" fmla="*/ 1139 h 1472"/>
              <a:gd name="T12" fmla="*/ 28 w 1233"/>
              <a:gd name="T13" fmla="*/ 1008 h 1472"/>
              <a:gd name="T14" fmla="*/ 4 w 1233"/>
              <a:gd name="T15" fmla="*/ 857 h 1472"/>
              <a:gd name="T16" fmla="*/ 2 w 1233"/>
              <a:gd name="T17" fmla="*/ 728 h 1472"/>
              <a:gd name="T18" fmla="*/ 22 w 1233"/>
              <a:gd name="T19" fmla="*/ 560 h 1472"/>
              <a:gd name="T20" fmla="*/ 72 w 1233"/>
              <a:gd name="T21" fmla="*/ 413 h 1472"/>
              <a:gd name="T22" fmla="*/ 149 w 1233"/>
              <a:gd name="T23" fmla="*/ 286 h 1472"/>
              <a:gd name="T24" fmla="*/ 250 w 1233"/>
              <a:gd name="T25" fmla="*/ 181 h 1472"/>
              <a:gd name="T26" fmla="*/ 375 w 1233"/>
              <a:gd name="T27" fmla="*/ 98 h 1472"/>
              <a:gd name="T28" fmla="*/ 526 w 1233"/>
              <a:gd name="T29" fmla="*/ 41 h 1472"/>
              <a:gd name="T30" fmla="*/ 696 w 1233"/>
              <a:gd name="T31" fmla="*/ 8 h 1472"/>
              <a:gd name="T32" fmla="*/ 839 w 1233"/>
              <a:gd name="T33" fmla="*/ 0 h 1472"/>
              <a:gd name="T34" fmla="*/ 1055 w 1233"/>
              <a:gd name="T35" fmla="*/ 15 h 1472"/>
              <a:gd name="T36" fmla="*/ 1143 w 1233"/>
              <a:gd name="T37" fmla="*/ 279 h 1472"/>
              <a:gd name="T38" fmla="*/ 1046 w 1233"/>
              <a:gd name="T39" fmla="*/ 207 h 1472"/>
              <a:gd name="T40" fmla="*/ 948 w 1233"/>
              <a:gd name="T41" fmla="*/ 157 h 1472"/>
              <a:gd name="T42" fmla="*/ 845 w 1233"/>
              <a:gd name="T43" fmla="*/ 129 h 1472"/>
              <a:gd name="T44" fmla="*/ 733 w 1233"/>
              <a:gd name="T45" fmla="*/ 120 h 1472"/>
              <a:gd name="T46" fmla="*/ 646 w 1233"/>
              <a:gd name="T47" fmla="*/ 128 h 1472"/>
              <a:gd name="T48" fmla="*/ 543 w 1233"/>
              <a:gd name="T49" fmla="*/ 159 h 1472"/>
              <a:gd name="T50" fmla="*/ 453 w 1233"/>
              <a:gd name="T51" fmla="*/ 212 h 1472"/>
              <a:gd name="T52" fmla="*/ 379 w 1233"/>
              <a:gd name="T53" fmla="*/ 284 h 1472"/>
              <a:gd name="T54" fmla="*/ 320 w 1233"/>
              <a:gd name="T55" fmla="*/ 369 h 1472"/>
              <a:gd name="T56" fmla="*/ 271 w 1233"/>
              <a:gd name="T57" fmla="*/ 492 h 1472"/>
              <a:gd name="T58" fmla="*/ 237 w 1233"/>
              <a:gd name="T59" fmla="*/ 706 h 1472"/>
              <a:gd name="T60" fmla="*/ 243 w 1233"/>
              <a:gd name="T61" fmla="*/ 818 h 1472"/>
              <a:gd name="T62" fmla="*/ 267 w 1233"/>
              <a:gd name="T63" fmla="*/ 953 h 1472"/>
              <a:gd name="T64" fmla="*/ 307 w 1233"/>
              <a:gd name="T65" fmla="*/ 1069 h 1472"/>
              <a:gd name="T66" fmla="*/ 368 w 1233"/>
              <a:gd name="T67" fmla="*/ 1164 h 1472"/>
              <a:gd name="T68" fmla="*/ 444 w 1233"/>
              <a:gd name="T69" fmla="*/ 1242 h 1472"/>
              <a:gd name="T70" fmla="*/ 537 w 1233"/>
              <a:gd name="T71" fmla="*/ 1299 h 1472"/>
              <a:gd name="T72" fmla="*/ 648 w 1233"/>
              <a:gd name="T73" fmla="*/ 1336 h 1472"/>
              <a:gd name="T74" fmla="*/ 773 w 1233"/>
              <a:gd name="T75" fmla="*/ 1352 h 1472"/>
              <a:gd name="T76" fmla="*/ 878 w 1233"/>
              <a:gd name="T77" fmla="*/ 1349 h 1472"/>
              <a:gd name="T78" fmla="*/ 957 w 1233"/>
              <a:gd name="T79" fmla="*/ 1312 h 1472"/>
              <a:gd name="T80" fmla="*/ 970 w 1233"/>
              <a:gd name="T81" fmla="*/ 1179 h 1472"/>
              <a:gd name="T82" fmla="*/ 970 w 1233"/>
              <a:gd name="T83" fmla="*/ 947 h 1472"/>
              <a:gd name="T84" fmla="*/ 952 w 1233"/>
              <a:gd name="T85" fmla="*/ 805 h 1472"/>
              <a:gd name="T86" fmla="*/ 915 w 1233"/>
              <a:gd name="T87" fmla="*/ 726 h 1472"/>
              <a:gd name="T88" fmla="*/ 1215 w 1233"/>
              <a:gd name="T89" fmla="*/ 759 h 1472"/>
              <a:gd name="T90" fmla="*/ 1184 w 1233"/>
              <a:gd name="T91" fmla="*/ 873 h 1472"/>
              <a:gd name="T92" fmla="*/ 1178 w 1233"/>
              <a:gd name="T93" fmla="*/ 1238 h 1472"/>
              <a:gd name="T94" fmla="*/ 1187 w 1233"/>
              <a:gd name="T95" fmla="*/ 1378 h 1472"/>
              <a:gd name="T96" fmla="*/ 1184 w 1233"/>
              <a:gd name="T97" fmla="*/ 1437 h 1472"/>
              <a:gd name="T98" fmla="*/ 970 w 1233"/>
              <a:gd name="T99" fmla="*/ 1463 h 14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233" h="1472">
                <a:moveTo>
                  <a:pt x="742" y="1472"/>
                </a:moveTo>
                <a:lnTo>
                  <a:pt x="742" y="1472"/>
                </a:lnTo>
                <a:lnTo>
                  <a:pt x="696" y="1472"/>
                </a:lnTo>
                <a:lnTo>
                  <a:pt x="653" y="1470"/>
                </a:lnTo>
                <a:lnTo>
                  <a:pt x="611" y="1466"/>
                </a:lnTo>
                <a:lnTo>
                  <a:pt x="571" y="1461"/>
                </a:lnTo>
                <a:lnTo>
                  <a:pt x="530" y="1455"/>
                </a:lnTo>
                <a:lnTo>
                  <a:pt x="493" y="1446"/>
                </a:lnTo>
                <a:lnTo>
                  <a:pt x="456" y="1437"/>
                </a:lnTo>
                <a:lnTo>
                  <a:pt x="421" y="1428"/>
                </a:lnTo>
                <a:lnTo>
                  <a:pt x="386" y="1415"/>
                </a:lnTo>
                <a:lnTo>
                  <a:pt x="355" y="1402"/>
                </a:lnTo>
                <a:lnTo>
                  <a:pt x="324" y="1387"/>
                </a:lnTo>
                <a:lnTo>
                  <a:pt x="294" y="1372"/>
                </a:lnTo>
                <a:lnTo>
                  <a:pt x="265" y="1354"/>
                </a:lnTo>
                <a:lnTo>
                  <a:pt x="239" y="1336"/>
                </a:lnTo>
                <a:lnTo>
                  <a:pt x="213" y="1315"/>
                </a:lnTo>
                <a:lnTo>
                  <a:pt x="190" y="1293"/>
                </a:lnTo>
                <a:lnTo>
                  <a:pt x="166" y="1271"/>
                </a:lnTo>
                <a:lnTo>
                  <a:pt x="145" y="1247"/>
                </a:lnTo>
                <a:lnTo>
                  <a:pt x="125" y="1221"/>
                </a:lnTo>
                <a:lnTo>
                  <a:pt x="107" y="1196"/>
                </a:lnTo>
                <a:lnTo>
                  <a:pt x="90" y="1168"/>
                </a:lnTo>
                <a:lnTo>
                  <a:pt x="74" y="1139"/>
                </a:lnTo>
                <a:lnTo>
                  <a:pt x="61" y="1107"/>
                </a:lnTo>
                <a:lnTo>
                  <a:pt x="48" y="1076"/>
                </a:lnTo>
                <a:lnTo>
                  <a:pt x="37" y="1043"/>
                </a:lnTo>
                <a:lnTo>
                  <a:pt x="28" y="1008"/>
                </a:lnTo>
                <a:lnTo>
                  <a:pt x="18" y="971"/>
                </a:lnTo>
                <a:lnTo>
                  <a:pt x="13" y="934"/>
                </a:lnTo>
                <a:lnTo>
                  <a:pt x="7" y="895"/>
                </a:lnTo>
                <a:lnTo>
                  <a:pt x="4" y="857"/>
                </a:lnTo>
                <a:lnTo>
                  <a:pt x="2" y="814"/>
                </a:lnTo>
                <a:lnTo>
                  <a:pt x="0" y="772"/>
                </a:lnTo>
                <a:lnTo>
                  <a:pt x="0" y="772"/>
                </a:lnTo>
                <a:lnTo>
                  <a:pt x="2" y="728"/>
                </a:lnTo>
                <a:lnTo>
                  <a:pt x="4" y="684"/>
                </a:lnTo>
                <a:lnTo>
                  <a:pt x="9" y="641"/>
                </a:lnTo>
                <a:lnTo>
                  <a:pt x="15" y="601"/>
                </a:lnTo>
                <a:lnTo>
                  <a:pt x="22" y="560"/>
                </a:lnTo>
                <a:lnTo>
                  <a:pt x="33" y="522"/>
                </a:lnTo>
                <a:lnTo>
                  <a:pt x="44" y="485"/>
                </a:lnTo>
                <a:lnTo>
                  <a:pt x="57" y="448"/>
                </a:lnTo>
                <a:lnTo>
                  <a:pt x="72" y="413"/>
                </a:lnTo>
                <a:lnTo>
                  <a:pt x="88" y="380"/>
                </a:lnTo>
                <a:lnTo>
                  <a:pt x="107" y="347"/>
                </a:lnTo>
                <a:lnTo>
                  <a:pt x="127" y="315"/>
                </a:lnTo>
                <a:lnTo>
                  <a:pt x="149" y="286"/>
                </a:lnTo>
                <a:lnTo>
                  <a:pt x="171" y="258"/>
                </a:lnTo>
                <a:lnTo>
                  <a:pt x="197" y="231"/>
                </a:lnTo>
                <a:lnTo>
                  <a:pt x="223" y="205"/>
                </a:lnTo>
                <a:lnTo>
                  <a:pt x="250" y="181"/>
                </a:lnTo>
                <a:lnTo>
                  <a:pt x="280" y="159"/>
                </a:lnTo>
                <a:lnTo>
                  <a:pt x="311" y="137"/>
                </a:lnTo>
                <a:lnTo>
                  <a:pt x="342" y="116"/>
                </a:lnTo>
                <a:lnTo>
                  <a:pt x="375" y="98"/>
                </a:lnTo>
                <a:lnTo>
                  <a:pt x="412" y="81"/>
                </a:lnTo>
                <a:lnTo>
                  <a:pt x="447" y="67"/>
                </a:lnTo>
                <a:lnTo>
                  <a:pt x="486" y="52"/>
                </a:lnTo>
                <a:lnTo>
                  <a:pt x="526" y="41"/>
                </a:lnTo>
                <a:lnTo>
                  <a:pt x="567" y="30"/>
                </a:lnTo>
                <a:lnTo>
                  <a:pt x="609" y="21"/>
                </a:lnTo>
                <a:lnTo>
                  <a:pt x="652" y="13"/>
                </a:lnTo>
                <a:lnTo>
                  <a:pt x="696" y="8"/>
                </a:lnTo>
                <a:lnTo>
                  <a:pt x="742" y="4"/>
                </a:lnTo>
                <a:lnTo>
                  <a:pt x="790" y="0"/>
                </a:lnTo>
                <a:lnTo>
                  <a:pt x="839" y="0"/>
                </a:lnTo>
                <a:lnTo>
                  <a:pt x="839" y="0"/>
                </a:lnTo>
                <a:lnTo>
                  <a:pt x="893" y="2"/>
                </a:lnTo>
                <a:lnTo>
                  <a:pt x="948" y="4"/>
                </a:lnTo>
                <a:lnTo>
                  <a:pt x="1055" y="15"/>
                </a:lnTo>
                <a:lnTo>
                  <a:pt x="1055" y="15"/>
                </a:lnTo>
                <a:lnTo>
                  <a:pt x="1152" y="24"/>
                </a:lnTo>
                <a:lnTo>
                  <a:pt x="1161" y="24"/>
                </a:lnTo>
                <a:lnTo>
                  <a:pt x="1161" y="295"/>
                </a:lnTo>
                <a:lnTo>
                  <a:pt x="1143" y="279"/>
                </a:lnTo>
                <a:lnTo>
                  <a:pt x="1143" y="279"/>
                </a:lnTo>
                <a:lnTo>
                  <a:pt x="1093" y="240"/>
                </a:lnTo>
                <a:lnTo>
                  <a:pt x="1069" y="221"/>
                </a:lnTo>
                <a:lnTo>
                  <a:pt x="1046" y="207"/>
                </a:lnTo>
                <a:lnTo>
                  <a:pt x="1020" y="192"/>
                </a:lnTo>
                <a:lnTo>
                  <a:pt x="996" y="179"/>
                </a:lnTo>
                <a:lnTo>
                  <a:pt x="972" y="166"/>
                </a:lnTo>
                <a:lnTo>
                  <a:pt x="948" y="157"/>
                </a:lnTo>
                <a:lnTo>
                  <a:pt x="922" y="148"/>
                </a:lnTo>
                <a:lnTo>
                  <a:pt x="898" y="140"/>
                </a:lnTo>
                <a:lnTo>
                  <a:pt x="872" y="133"/>
                </a:lnTo>
                <a:lnTo>
                  <a:pt x="845" y="129"/>
                </a:lnTo>
                <a:lnTo>
                  <a:pt x="819" y="126"/>
                </a:lnTo>
                <a:lnTo>
                  <a:pt x="791" y="122"/>
                </a:lnTo>
                <a:lnTo>
                  <a:pt x="762" y="120"/>
                </a:lnTo>
                <a:lnTo>
                  <a:pt x="733" y="120"/>
                </a:lnTo>
                <a:lnTo>
                  <a:pt x="733" y="120"/>
                </a:lnTo>
                <a:lnTo>
                  <a:pt x="703" y="120"/>
                </a:lnTo>
                <a:lnTo>
                  <a:pt x="674" y="124"/>
                </a:lnTo>
                <a:lnTo>
                  <a:pt x="646" y="128"/>
                </a:lnTo>
                <a:lnTo>
                  <a:pt x="618" y="133"/>
                </a:lnTo>
                <a:lnTo>
                  <a:pt x="593" y="140"/>
                </a:lnTo>
                <a:lnTo>
                  <a:pt x="567" y="150"/>
                </a:lnTo>
                <a:lnTo>
                  <a:pt x="543" y="159"/>
                </a:lnTo>
                <a:lnTo>
                  <a:pt x="519" y="170"/>
                </a:lnTo>
                <a:lnTo>
                  <a:pt x="495" y="183"/>
                </a:lnTo>
                <a:lnTo>
                  <a:pt x="475" y="198"/>
                </a:lnTo>
                <a:lnTo>
                  <a:pt x="453" y="212"/>
                </a:lnTo>
                <a:lnTo>
                  <a:pt x="434" y="229"/>
                </a:lnTo>
                <a:lnTo>
                  <a:pt x="414" y="245"/>
                </a:lnTo>
                <a:lnTo>
                  <a:pt x="398" y="264"/>
                </a:lnTo>
                <a:lnTo>
                  <a:pt x="379" y="284"/>
                </a:lnTo>
                <a:lnTo>
                  <a:pt x="364" y="304"/>
                </a:lnTo>
                <a:lnTo>
                  <a:pt x="348" y="325"/>
                </a:lnTo>
                <a:lnTo>
                  <a:pt x="335" y="347"/>
                </a:lnTo>
                <a:lnTo>
                  <a:pt x="320" y="369"/>
                </a:lnTo>
                <a:lnTo>
                  <a:pt x="309" y="393"/>
                </a:lnTo>
                <a:lnTo>
                  <a:pt x="298" y="417"/>
                </a:lnTo>
                <a:lnTo>
                  <a:pt x="287" y="441"/>
                </a:lnTo>
                <a:lnTo>
                  <a:pt x="271" y="492"/>
                </a:lnTo>
                <a:lnTo>
                  <a:pt x="256" y="544"/>
                </a:lnTo>
                <a:lnTo>
                  <a:pt x="247" y="597"/>
                </a:lnTo>
                <a:lnTo>
                  <a:pt x="239" y="651"/>
                </a:lnTo>
                <a:lnTo>
                  <a:pt x="237" y="706"/>
                </a:lnTo>
                <a:lnTo>
                  <a:pt x="237" y="706"/>
                </a:lnTo>
                <a:lnTo>
                  <a:pt x="239" y="744"/>
                </a:lnTo>
                <a:lnTo>
                  <a:pt x="241" y="781"/>
                </a:lnTo>
                <a:lnTo>
                  <a:pt x="243" y="818"/>
                </a:lnTo>
                <a:lnTo>
                  <a:pt x="247" y="853"/>
                </a:lnTo>
                <a:lnTo>
                  <a:pt x="252" y="888"/>
                </a:lnTo>
                <a:lnTo>
                  <a:pt x="259" y="921"/>
                </a:lnTo>
                <a:lnTo>
                  <a:pt x="267" y="953"/>
                </a:lnTo>
                <a:lnTo>
                  <a:pt x="276" y="982"/>
                </a:lnTo>
                <a:lnTo>
                  <a:pt x="285" y="1011"/>
                </a:lnTo>
                <a:lnTo>
                  <a:pt x="296" y="1041"/>
                </a:lnTo>
                <a:lnTo>
                  <a:pt x="307" y="1069"/>
                </a:lnTo>
                <a:lnTo>
                  <a:pt x="322" y="1094"/>
                </a:lnTo>
                <a:lnTo>
                  <a:pt x="335" y="1118"/>
                </a:lnTo>
                <a:lnTo>
                  <a:pt x="352" y="1142"/>
                </a:lnTo>
                <a:lnTo>
                  <a:pt x="368" y="1164"/>
                </a:lnTo>
                <a:lnTo>
                  <a:pt x="385" y="1186"/>
                </a:lnTo>
                <a:lnTo>
                  <a:pt x="403" y="1205"/>
                </a:lnTo>
                <a:lnTo>
                  <a:pt x="423" y="1223"/>
                </a:lnTo>
                <a:lnTo>
                  <a:pt x="444" y="1242"/>
                </a:lnTo>
                <a:lnTo>
                  <a:pt x="466" y="1258"/>
                </a:lnTo>
                <a:lnTo>
                  <a:pt x="490" y="1273"/>
                </a:lnTo>
                <a:lnTo>
                  <a:pt x="514" y="1286"/>
                </a:lnTo>
                <a:lnTo>
                  <a:pt x="537" y="1299"/>
                </a:lnTo>
                <a:lnTo>
                  <a:pt x="563" y="1310"/>
                </a:lnTo>
                <a:lnTo>
                  <a:pt x="591" y="1321"/>
                </a:lnTo>
                <a:lnTo>
                  <a:pt x="618" y="1328"/>
                </a:lnTo>
                <a:lnTo>
                  <a:pt x="648" y="1336"/>
                </a:lnTo>
                <a:lnTo>
                  <a:pt x="677" y="1341"/>
                </a:lnTo>
                <a:lnTo>
                  <a:pt x="709" y="1347"/>
                </a:lnTo>
                <a:lnTo>
                  <a:pt x="740" y="1350"/>
                </a:lnTo>
                <a:lnTo>
                  <a:pt x="773" y="1352"/>
                </a:lnTo>
                <a:lnTo>
                  <a:pt x="808" y="1352"/>
                </a:lnTo>
                <a:lnTo>
                  <a:pt x="808" y="1352"/>
                </a:lnTo>
                <a:lnTo>
                  <a:pt x="843" y="1352"/>
                </a:lnTo>
                <a:lnTo>
                  <a:pt x="878" y="1349"/>
                </a:lnTo>
                <a:lnTo>
                  <a:pt x="915" y="1345"/>
                </a:lnTo>
                <a:lnTo>
                  <a:pt x="952" y="1339"/>
                </a:lnTo>
                <a:lnTo>
                  <a:pt x="952" y="1339"/>
                </a:lnTo>
                <a:lnTo>
                  <a:pt x="957" y="1312"/>
                </a:lnTo>
                <a:lnTo>
                  <a:pt x="963" y="1286"/>
                </a:lnTo>
                <a:lnTo>
                  <a:pt x="965" y="1260"/>
                </a:lnTo>
                <a:lnTo>
                  <a:pt x="968" y="1232"/>
                </a:lnTo>
                <a:lnTo>
                  <a:pt x="970" y="1179"/>
                </a:lnTo>
                <a:lnTo>
                  <a:pt x="970" y="1128"/>
                </a:lnTo>
                <a:lnTo>
                  <a:pt x="970" y="1021"/>
                </a:lnTo>
                <a:lnTo>
                  <a:pt x="970" y="1021"/>
                </a:lnTo>
                <a:lnTo>
                  <a:pt x="970" y="947"/>
                </a:lnTo>
                <a:lnTo>
                  <a:pt x="968" y="910"/>
                </a:lnTo>
                <a:lnTo>
                  <a:pt x="965" y="873"/>
                </a:lnTo>
                <a:lnTo>
                  <a:pt x="959" y="838"/>
                </a:lnTo>
                <a:lnTo>
                  <a:pt x="952" y="805"/>
                </a:lnTo>
                <a:lnTo>
                  <a:pt x="941" y="774"/>
                </a:lnTo>
                <a:lnTo>
                  <a:pt x="933" y="759"/>
                </a:lnTo>
                <a:lnTo>
                  <a:pt x="926" y="744"/>
                </a:lnTo>
                <a:lnTo>
                  <a:pt x="915" y="726"/>
                </a:lnTo>
                <a:lnTo>
                  <a:pt x="1233" y="726"/>
                </a:lnTo>
                <a:lnTo>
                  <a:pt x="1222" y="744"/>
                </a:lnTo>
                <a:lnTo>
                  <a:pt x="1222" y="744"/>
                </a:lnTo>
                <a:lnTo>
                  <a:pt x="1215" y="759"/>
                </a:lnTo>
                <a:lnTo>
                  <a:pt x="1207" y="774"/>
                </a:lnTo>
                <a:lnTo>
                  <a:pt x="1196" y="805"/>
                </a:lnTo>
                <a:lnTo>
                  <a:pt x="1189" y="838"/>
                </a:lnTo>
                <a:lnTo>
                  <a:pt x="1184" y="873"/>
                </a:lnTo>
                <a:lnTo>
                  <a:pt x="1182" y="910"/>
                </a:lnTo>
                <a:lnTo>
                  <a:pt x="1180" y="947"/>
                </a:lnTo>
                <a:lnTo>
                  <a:pt x="1178" y="1021"/>
                </a:lnTo>
                <a:lnTo>
                  <a:pt x="1178" y="1238"/>
                </a:lnTo>
                <a:lnTo>
                  <a:pt x="1178" y="1238"/>
                </a:lnTo>
                <a:lnTo>
                  <a:pt x="1180" y="1282"/>
                </a:lnTo>
                <a:lnTo>
                  <a:pt x="1184" y="1330"/>
                </a:lnTo>
                <a:lnTo>
                  <a:pt x="1187" y="1378"/>
                </a:lnTo>
                <a:lnTo>
                  <a:pt x="1193" y="1424"/>
                </a:lnTo>
                <a:lnTo>
                  <a:pt x="1195" y="1435"/>
                </a:lnTo>
                <a:lnTo>
                  <a:pt x="1184" y="1437"/>
                </a:lnTo>
                <a:lnTo>
                  <a:pt x="1184" y="1437"/>
                </a:lnTo>
                <a:lnTo>
                  <a:pt x="1134" y="1444"/>
                </a:lnTo>
                <a:lnTo>
                  <a:pt x="1082" y="1452"/>
                </a:lnTo>
                <a:lnTo>
                  <a:pt x="1027" y="1457"/>
                </a:lnTo>
                <a:lnTo>
                  <a:pt x="970" y="1463"/>
                </a:lnTo>
                <a:lnTo>
                  <a:pt x="856" y="1470"/>
                </a:lnTo>
                <a:lnTo>
                  <a:pt x="797" y="1472"/>
                </a:lnTo>
                <a:lnTo>
                  <a:pt x="742" y="1472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blackGray">
          <a:xfrm>
            <a:off x="8106043" y="356378"/>
            <a:ext cx="131278" cy="185448"/>
          </a:xfrm>
          <a:custGeom>
            <a:avLst/>
            <a:gdLst>
              <a:gd name="T0" fmla="*/ 13 w 1010"/>
              <a:gd name="T1" fmla="*/ 1409 h 1428"/>
              <a:gd name="T2" fmla="*/ 27 w 1010"/>
              <a:gd name="T3" fmla="*/ 1380 h 1428"/>
              <a:gd name="T4" fmla="*/ 48 w 1010"/>
              <a:gd name="T5" fmla="*/ 1315 h 1428"/>
              <a:gd name="T6" fmla="*/ 59 w 1010"/>
              <a:gd name="T7" fmla="*/ 1208 h 1428"/>
              <a:gd name="T8" fmla="*/ 59 w 1010"/>
              <a:gd name="T9" fmla="*/ 317 h 1428"/>
              <a:gd name="T10" fmla="*/ 53 w 1010"/>
              <a:gd name="T11" fmla="*/ 170 h 1428"/>
              <a:gd name="T12" fmla="*/ 33 w 1010"/>
              <a:gd name="T13" fmla="*/ 85 h 1428"/>
              <a:gd name="T14" fmla="*/ 13 w 1010"/>
              <a:gd name="T15" fmla="*/ 41 h 1428"/>
              <a:gd name="T16" fmla="*/ 22 w 1010"/>
              <a:gd name="T17" fmla="*/ 22 h 1428"/>
              <a:gd name="T18" fmla="*/ 287 w 1010"/>
              <a:gd name="T19" fmla="*/ 11 h 1428"/>
              <a:gd name="T20" fmla="*/ 513 w 1010"/>
              <a:gd name="T21" fmla="*/ 0 h 1428"/>
              <a:gd name="T22" fmla="*/ 633 w 1010"/>
              <a:gd name="T23" fmla="*/ 2 h 1428"/>
              <a:gd name="T24" fmla="*/ 766 w 1010"/>
              <a:gd name="T25" fmla="*/ 26 h 1428"/>
              <a:gd name="T26" fmla="*/ 870 w 1010"/>
              <a:gd name="T27" fmla="*/ 76 h 1428"/>
              <a:gd name="T28" fmla="*/ 948 w 1010"/>
              <a:gd name="T29" fmla="*/ 153 h 1428"/>
              <a:gd name="T30" fmla="*/ 996 w 1010"/>
              <a:gd name="T31" fmla="*/ 253 h 1428"/>
              <a:gd name="T32" fmla="*/ 1010 w 1010"/>
              <a:gd name="T33" fmla="*/ 376 h 1428"/>
              <a:gd name="T34" fmla="*/ 1003 w 1010"/>
              <a:gd name="T35" fmla="*/ 472 h 1428"/>
              <a:gd name="T36" fmla="*/ 963 w 1010"/>
              <a:gd name="T37" fmla="*/ 597 h 1428"/>
              <a:gd name="T38" fmla="*/ 891 w 1010"/>
              <a:gd name="T39" fmla="*/ 698 h 1428"/>
              <a:gd name="T40" fmla="*/ 791 w 1010"/>
              <a:gd name="T41" fmla="*/ 772 h 1428"/>
              <a:gd name="T42" fmla="*/ 668 w 1010"/>
              <a:gd name="T43" fmla="*/ 812 h 1428"/>
              <a:gd name="T44" fmla="*/ 574 w 1010"/>
              <a:gd name="T45" fmla="*/ 822 h 1428"/>
              <a:gd name="T46" fmla="*/ 473 w 1010"/>
              <a:gd name="T47" fmla="*/ 814 h 1428"/>
              <a:gd name="T48" fmla="*/ 401 w 1010"/>
              <a:gd name="T49" fmla="*/ 798 h 1428"/>
              <a:gd name="T50" fmla="*/ 370 w 1010"/>
              <a:gd name="T51" fmla="*/ 781 h 1428"/>
              <a:gd name="T52" fmla="*/ 359 w 1010"/>
              <a:gd name="T53" fmla="*/ 750 h 1428"/>
              <a:gd name="T54" fmla="*/ 458 w 1010"/>
              <a:gd name="T55" fmla="*/ 735 h 1428"/>
              <a:gd name="T56" fmla="*/ 558 w 1010"/>
              <a:gd name="T57" fmla="*/ 709 h 1428"/>
              <a:gd name="T58" fmla="*/ 648 w 1010"/>
              <a:gd name="T59" fmla="*/ 661 h 1428"/>
              <a:gd name="T60" fmla="*/ 686 w 1010"/>
              <a:gd name="T61" fmla="*/ 625 h 1428"/>
              <a:gd name="T62" fmla="*/ 716 w 1010"/>
              <a:gd name="T63" fmla="*/ 579 h 1428"/>
              <a:gd name="T64" fmla="*/ 740 w 1010"/>
              <a:gd name="T65" fmla="*/ 522 h 1428"/>
              <a:gd name="T66" fmla="*/ 753 w 1010"/>
              <a:gd name="T67" fmla="*/ 452 h 1428"/>
              <a:gd name="T68" fmla="*/ 754 w 1010"/>
              <a:gd name="T69" fmla="*/ 398 h 1428"/>
              <a:gd name="T70" fmla="*/ 749 w 1010"/>
              <a:gd name="T71" fmla="*/ 319 h 1428"/>
              <a:gd name="T72" fmla="*/ 727 w 1010"/>
              <a:gd name="T73" fmla="*/ 245 h 1428"/>
              <a:gd name="T74" fmla="*/ 683 w 1010"/>
              <a:gd name="T75" fmla="*/ 183 h 1428"/>
              <a:gd name="T76" fmla="*/ 613 w 1010"/>
              <a:gd name="T77" fmla="*/ 137 h 1428"/>
              <a:gd name="T78" fmla="*/ 511 w 1010"/>
              <a:gd name="T79" fmla="*/ 113 h 1428"/>
              <a:gd name="T80" fmla="*/ 285 w 1010"/>
              <a:gd name="T81" fmla="*/ 1131 h 1428"/>
              <a:gd name="T82" fmla="*/ 289 w 1010"/>
              <a:gd name="T83" fmla="*/ 1236 h 1428"/>
              <a:gd name="T84" fmla="*/ 311 w 1010"/>
              <a:gd name="T85" fmla="*/ 1347 h 1428"/>
              <a:gd name="T86" fmla="*/ 340 w 1010"/>
              <a:gd name="T87" fmla="*/ 1409 h 14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1010" h="1428">
                <a:moveTo>
                  <a:pt x="353" y="1428"/>
                </a:moveTo>
                <a:lnTo>
                  <a:pt x="0" y="1428"/>
                </a:lnTo>
                <a:lnTo>
                  <a:pt x="13" y="1409"/>
                </a:lnTo>
                <a:lnTo>
                  <a:pt x="13" y="1409"/>
                </a:lnTo>
                <a:lnTo>
                  <a:pt x="20" y="1394"/>
                </a:lnTo>
                <a:lnTo>
                  <a:pt x="27" y="1380"/>
                </a:lnTo>
                <a:lnTo>
                  <a:pt x="35" y="1365"/>
                </a:lnTo>
                <a:lnTo>
                  <a:pt x="40" y="1348"/>
                </a:lnTo>
                <a:lnTo>
                  <a:pt x="48" y="1315"/>
                </a:lnTo>
                <a:lnTo>
                  <a:pt x="53" y="1280"/>
                </a:lnTo>
                <a:lnTo>
                  <a:pt x="57" y="1245"/>
                </a:lnTo>
                <a:lnTo>
                  <a:pt x="59" y="1208"/>
                </a:lnTo>
                <a:lnTo>
                  <a:pt x="59" y="1142"/>
                </a:lnTo>
                <a:lnTo>
                  <a:pt x="59" y="317"/>
                </a:lnTo>
                <a:lnTo>
                  <a:pt x="59" y="317"/>
                </a:lnTo>
                <a:lnTo>
                  <a:pt x="59" y="243"/>
                </a:lnTo>
                <a:lnTo>
                  <a:pt x="57" y="207"/>
                </a:lnTo>
                <a:lnTo>
                  <a:pt x="53" y="170"/>
                </a:lnTo>
                <a:lnTo>
                  <a:pt x="48" y="135"/>
                </a:lnTo>
                <a:lnTo>
                  <a:pt x="38" y="100"/>
                </a:lnTo>
                <a:lnTo>
                  <a:pt x="33" y="85"/>
                </a:lnTo>
                <a:lnTo>
                  <a:pt x="27" y="68"/>
                </a:lnTo>
                <a:lnTo>
                  <a:pt x="20" y="56"/>
                </a:lnTo>
                <a:lnTo>
                  <a:pt x="13" y="41"/>
                </a:lnTo>
                <a:lnTo>
                  <a:pt x="0" y="22"/>
                </a:lnTo>
                <a:lnTo>
                  <a:pt x="22" y="22"/>
                </a:lnTo>
                <a:lnTo>
                  <a:pt x="22" y="22"/>
                </a:lnTo>
                <a:lnTo>
                  <a:pt x="90" y="21"/>
                </a:lnTo>
                <a:lnTo>
                  <a:pt x="156" y="19"/>
                </a:lnTo>
                <a:lnTo>
                  <a:pt x="287" y="11"/>
                </a:lnTo>
                <a:lnTo>
                  <a:pt x="287" y="11"/>
                </a:lnTo>
                <a:lnTo>
                  <a:pt x="434" y="4"/>
                </a:lnTo>
                <a:lnTo>
                  <a:pt x="513" y="0"/>
                </a:lnTo>
                <a:lnTo>
                  <a:pt x="583" y="0"/>
                </a:lnTo>
                <a:lnTo>
                  <a:pt x="583" y="0"/>
                </a:lnTo>
                <a:lnTo>
                  <a:pt x="633" y="2"/>
                </a:lnTo>
                <a:lnTo>
                  <a:pt x="681" y="6"/>
                </a:lnTo>
                <a:lnTo>
                  <a:pt x="725" y="15"/>
                </a:lnTo>
                <a:lnTo>
                  <a:pt x="766" y="26"/>
                </a:lnTo>
                <a:lnTo>
                  <a:pt x="804" y="39"/>
                </a:lnTo>
                <a:lnTo>
                  <a:pt x="839" y="56"/>
                </a:lnTo>
                <a:lnTo>
                  <a:pt x="870" y="76"/>
                </a:lnTo>
                <a:lnTo>
                  <a:pt x="900" y="98"/>
                </a:lnTo>
                <a:lnTo>
                  <a:pt x="926" y="124"/>
                </a:lnTo>
                <a:lnTo>
                  <a:pt x="948" y="153"/>
                </a:lnTo>
                <a:lnTo>
                  <a:pt x="966" y="183"/>
                </a:lnTo>
                <a:lnTo>
                  <a:pt x="983" y="218"/>
                </a:lnTo>
                <a:lnTo>
                  <a:pt x="996" y="253"/>
                </a:lnTo>
                <a:lnTo>
                  <a:pt x="1005" y="291"/>
                </a:lnTo>
                <a:lnTo>
                  <a:pt x="1010" y="332"/>
                </a:lnTo>
                <a:lnTo>
                  <a:pt x="1010" y="376"/>
                </a:lnTo>
                <a:lnTo>
                  <a:pt x="1010" y="376"/>
                </a:lnTo>
                <a:lnTo>
                  <a:pt x="1009" y="426"/>
                </a:lnTo>
                <a:lnTo>
                  <a:pt x="1003" y="472"/>
                </a:lnTo>
                <a:lnTo>
                  <a:pt x="994" y="516"/>
                </a:lnTo>
                <a:lnTo>
                  <a:pt x="979" y="558"/>
                </a:lnTo>
                <a:lnTo>
                  <a:pt x="963" y="597"/>
                </a:lnTo>
                <a:lnTo>
                  <a:pt x="942" y="634"/>
                </a:lnTo>
                <a:lnTo>
                  <a:pt x="918" y="669"/>
                </a:lnTo>
                <a:lnTo>
                  <a:pt x="891" y="698"/>
                </a:lnTo>
                <a:lnTo>
                  <a:pt x="861" y="726"/>
                </a:lnTo>
                <a:lnTo>
                  <a:pt x="828" y="752"/>
                </a:lnTo>
                <a:lnTo>
                  <a:pt x="791" y="772"/>
                </a:lnTo>
                <a:lnTo>
                  <a:pt x="753" y="789"/>
                </a:lnTo>
                <a:lnTo>
                  <a:pt x="712" y="803"/>
                </a:lnTo>
                <a:lnTo>
                  <a:pt x="668" y="812"/>
                </a:lnTo>
                <a:lnTo>
                  <a:pt x="622" y="820"/>
                </a:lnTo>
                <a:lnTo>
                  <a:pt x="574" y="822"/>
                </a:lnTo>
                <a:lnTo>
                  <a:pt x="574" y="822"/>
                </a:lnTo>
                <a:lnTo>
                  <a:pt x="537" y="820"/>
                </a:lnTo>
                <a:lnTo>
                  <a:pt x="502" y="818"/>
                </a:lnTo>
                <a:lnTo>
                  <a:pt x="473" y="814"/>
                </a:lnTo>
                <a:lnTo>
                  <a:pt x="445" y="811"/>
                </a:lnTo>
                <a:lnTo>
                  <a:pt x="421" y="803"/>
                </a:lnTo>
                <a:lnTo>
                  <a:pt x="401" y="798"/>
                </a:lnTo>
                <a:lnTo>
                  <a:pt x="384" y="790"/>
                </a:lnTo>
                <a:lnTo>
                  <a:pt x="370" y="781"/>
                </a:lnTo>
                <a:lnTo>
                  <a:pt x="370" y="781"/>
                </a:lnTo>
                <a:lnTo>
                  <a:pt x="355" y="772"/>
                </a:lnTo>
                <a:lnTo>
                  <a:pt x="327" y="754"/>
                </a:lnTo>
                <a:lnTo>
                  <a:pt x="359" y="750"/>
                </a:lnTo>
                <a:lnTo>
                  <a:pt x="359" y="750"/>
                </a:lnTo>
                <a:lnTo>
                  <a:pt x="425" y="741"/>
                </a:lnTo>
                <a:lnTo>
                  <a:pt x="458" y="735"/>
                </a:lnTo>
                <a:lnTo>
                  <a:pt x="491" y="728"/>
                </a:lnTo>
                <a:lnTo>
                  <a:pt x="524" y="720"/>
                </a:lnTo>
                <a:lnTo>
                  <a:pt x="558" y="709"/>
                </a:lnTo>
                <a:lnTo>
                  <a:pt x="589" y="696"/>
                </a:lnTo>
                <a:lnTo>
                  <a:pt x="620" y="680"/>
                </a:lnTo>
                <a:lnTo>
                  <a:pt x="648" y="661"/>
                </a:lnTo>
                <a:lnTo>
                  <a:pt x="661" y="650"/>
                </a:lnTo>
                <a:lnTo>
                  <a:pt x="673" y="638"/>
                </a:lnTo>
                <a:lnTo>
                  <a:pt x="686" y="625"/>
                </a:lnTo>
                <a:lnTo>
                  <a:pt x="697" y="612"/>
                </a:lnTo>
                <a:lnTo>
                  <a:pt x="707" y="595"/>
                </a:lnTo>
                <a:lnTo>
                  <a:pt x="716" y="579"/>
                </a:lnTo>
                <a:lnTo>
                  <a:pt x="725" y="562"/>
                </a:lnTo>
                <a:lnTo>
                  <a:pt x="732" y="542"/>
                </a:lnTo>
                <a:lnTo>
                  <a:pt x="740" y="522"/>
                </a:lnTo>
                <a:lnTo>
                  <a:pt x="743" y="499"/>
                </a:lnTo>
                <a:lnTo>
                  <a:pt x="749" y="477"/>
                </a:lnTo>
                <a:lnTo>
                  <a:pt x="753" y="452"/>
                </a:lnTo>
                <a:lnTo>
                  <a:pt x="754" y="426"/>
                </a:lnTo>
                <a:lnTo>
                  <a:pt x="754" y="398"/>
                </a:lnTo>
                <a:lnTo>
                  <a:pt x="754" y="398"/>
                </a:lnTo>
                <a:lnTo>
                  <a:pt x="754" y="372"/>
                </a:lnTo>
                <a:lnTo>
                  <a:pt x="753" y="345"/>
                </a:lnTo>
                <a:lnTo>
                  <a:pt x="749" y="319"/>
                </a:lnTo>
                <a:lnTo>
                  <a:pt x="743" y="293"/>
                </a:lnTo>
                <a:lnTo>
                  <a:pt x="736" y="269"/>
                </a:lnTo>
                <a:lnTo>
                  <a:pt x="727" y="245"/>
                </a:lnTo>
                <a:lnTo>
                  <a:pt x="714" y="223"/>
                </a:lnTo>
                <a:lnTo>
                  <a:pt x="699" y="201"/>
                </a:lnTo>
                <a:lnTo>
                  <a:pt x="683" y="183"/>
                </a:lnTo>
                <a:lnTo>
                  <a:pt x="662" y="164"/>
                </a:lnTo>
                <a:lnTo>
                  <a:pt x="640" y="150"/>
                </a:lnTo>
                <a:lnTo>
                  <a:pt x="613" y="137"/>
                </a:lnTo>
                <a:lnTo>
                  <a:pt x="583" y="126"/>
                </a:lnTo>
                <a:lnTo>
                  <a:pt x="548" y="118"/>
                </a:lnTo>
                <a:lnTo>
                  <a:pt x="511" y="113"/>
                </a:lnTo>
                <a:lnTo>
                  <a:pt x="469" y="111"/>
                </a:lnTo>
                <a:lnTo>
                  <a:pt x="285" y="111"/>
                </a:lnTo>
                <a:lnTo>
                  <a:pt x="285" y="1131"/>
                </a:lnTo>
                <a:lnTo>
                  <a:pt x="285" y="1131"/>
                </a:lnTo>
                <a:lnTo>
                  <a:pt x="287" y="1199"/>
                </a:lnTo>
                <a:lnTo>
                  <a:pt x="289" y="1236"/>
                </a:lnTo>
                <a:lnTo>
                  <a:pt x="294" y="1273"/>
                </a:lnTo>
                <a:lnTo>
                  <a:pt x="300" y="1310"/>
                </a:lnTo>
                <a:lnTo>
                  <a:pt x="311" y="1347"/>
                </a:lnTo>
                <a:lnTo>
                  <a:pt x="324" y="1378"/>
                </a:lnTo>
                <a:lnTo>
                  <a:pt x="331" y="1394"/>
                </a:lnTo>
                <a:lnTo>
                  <a:pt x="340" y="1409"/>
                </a:lnTo>
                <a:lnTo>
                  <a:pt x="353" y="1428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EditPoints="1"/>
          </xdr:cNvSpPr>
        </xdr:nvSpPr>
        <xdr:spPr bwMode="blackGray">
          <a:xfrm>
            <a:off x="8239038" y="408750"/>
            <a:ext cx="106395" cy="137369"/>
          </a:xfrm>
          <a:custGeom>
            <a:avLst/>
            <a:gdLst>
              <a:gd name="T0" fmla="*/ 227 w 823"/>
              <a:gd name="T1" fmla="*/ 1053 h 1059"/>
              <a:gd name="T2" fmla="*/ 120 w 823"/>
              <a:gd name="T3" fmla="*/ 1018 h 1059"/>
              <a:gd name="T4" fmla="*/ 44 w 823"/>
              <a:gd name="T5" fmla="*/ 954 h 1059"/>
              <a:gd name="T6" fmla="*/ 4 w 823"/>
              <a:gd name="T7" fmla="*/ 860 h 1059"/>
              <a:gd name="T8" fmla="*/ 0 w 823"/>
              <a:gd name="T9" fmla="*/ 790 h 1059"/>
              <a:gd name="T10" fmla="*/ 32 w 823"/>
              <a:gd name="T11" fmla="*/ 694 h 1059"/>
              <a:gd name="T12" fmla="*/ 113 w 823"/>
              <a:gd name="T13" fmla="*/ 607 h 1059"/>
              <a:gd name="T14" fmla="*/ 223 w 823"/>
              <a:gd name="T15" fmla="*/ 541 h 1059"/>
              <a:gd name="T16" fmla="*/ 409 w 823"/>
              <a:gd name="T17" fmla="*/ 458 h 1059"/>
              <a:gd name="T18" fmla="*/ 497 w 823"/>
              <a:gd name="T19" fmla="*/ 418 h 1059"/>
              <a:gd name="T20" fmla="*/ 541 w 823"/>
              <a:gd name="T21" fmla="*/ 377 h 1059"/>
              <a:gd name="T22" fmla="*/ 558 w 823"/>
              <a:gd name="T23" fmla="*/ 307 h 1059"/>
              <a:gd name="T24" fmla="*/ 556 w 823"/>
              <a:gd name="T25" fmla="*/ 224 h 1059"/>
              <a:gd name="T26" fmla="*/ 538 w 823"/>
              <a:gd name="T27" fmla="*/ 158 h 1059"/>
              <a:gd name="T28" fmla="*/ 497 w 823"/>
              <a:gd name="T29" fmla="*/ 114 h 1059"/>
              <a:gd name="T30" fmla="*/ 437 w 823"/>
              <a:gd name="T31" fmla="*/ 92 h 1059"/>
              <a:gd name="T32" fmla="*/ 379 w 823"/>
              <a:gd name="T33" fmla="*/ 90 h 1059"/>
              <a:gd name="T34" fmla="*/ 319 w 823"/>
              <a:gd name="T35" fmla="*/ 103 h 1059"/>
              <a:gd name="T36" fmla="*/ 273 w 823"/>
              <a:gd name="T37" fmla="*/ 140 h 1059"/>
              <a:gd name="T38" fmla="*/ 243 w 823"/>
              <a:gd name="T39" fmla="*/ 200 h 1059"/>
              <a:gd name="T40" fmla="*/ 192 w 823"/>
              <a:gd name="T41" fmla="*/ 278 h 1059"/>
              <a:gd name="T42" fmla="*/ 153 w 823"/>
              <a:gd name="T43" fmla="*/ 294 h 1059"/>
              <a:gd name="T44" fmla="*/ 107 w 823"/>
              <a:gd name="T45" fmla="*/ 294 h 1059"/>
              <a:gd name="T46" fmla="*/ 48 w 823"/>
              <a:gd name="T47" fmla="*/ 261 h 1059"/>
              <a:gd name="T48" fmla="*/ 33 w 823"/>
              <a:gd name="T49" fmla="*/ 208 h 1059"/>
              <a:gd name="T50" fmla="*/ 43 w 823"/>
              <a:gd name="T51" fmla="*/ 158 h 1059"/>
              <a:gd name="T52" fmla="*/ 87 w 823"/>
              <a:gd name="T53" fmla="*/ 95 h 1059"/>
              <a:gd name="T54" fmla="*/ 192 w 823"/>
              <a:gd name="T55" fmla="*/ 36 h 1059"/>
              <a:gd name="T56" fmla="*/ 330 w 823"/>
              <a:gd name="T57" fmla="*/ 5 h 1059"/>
              <a:gd name="T58" fmla="*/ 442 w 823"/>
              <a:gd name="T59" fmla="*/ 0 h 1059"/>
              <a:gd name="T60" fmla="*/ 578 w 823"/>
              <a:gd name="T61" fmla="*/ 11 h 1059"/>
              <a:gd name="T62" fmla="*/ 674 w 823"/>
              <a:gd name="T63" fmla="*/ 46 h 1059"/>
              <a:gd name="T64" fmla="*/ 731 w 823"/>
              <a:gd name="T65" fmla="*/ 105 h 1059"/>
              <a:gd name="T66" fmla="*/ 749 w 823"/>
              <a:gd name="T67" fmla="*/ 188 h 1059"/>
              <a:gd name="T68" fmla="*/ 751 w 823"/>
              <a:gd name="T69" fmla="*/ 821 h 1059"/>
              <a:gd name="T70" fmla="*/ 773 w 823"/>
              <a:gd name="T71" fmla="*/ 939 h 1059"/>
              <a:gd name="T72" fmla="*/ 808 w 823"/>
              <a:gd name="T73" fmla="*/ 1003 h 1059"/>
              <a:gd name="T74" fmla="*/ 587 w 823"/>
              <a:gd name="T75" fmla="*/ 1027 h 1059"/>
              <a:gd name="T76" fmla="*/ 565 w 823"/>
              <a:gd name="T77" fmla="*/ 920 h 1059"/>
              <a:gd name="T78" fmla="*/ 560 w 823"/>
              <a:gd name="T79" fmla="*/ 902 h 1059"/>
              <a:gd name="T80" fmla="*/ 516 w 823"/>
              <a:gd name="T81" fmla="*/ 963 h 1059"/>
              <a:gd name="T82" fmla="*/ 448 w 823"/>
              <a:gd name="T83" fmla="*/ 1022 h 1059"/>
              <a:gd name="T84" fmla="*/ 368 w 823"/>
              <a:gd name="T85" fmla="*/ 1051 h 1059"/>
              <a:gd name="T86" fmla="*/ 560 w 823"/>
              <a:gd name="T87" fmla="*/ 486 h 1059"/>
              <a:gd name="T88" fmla="*/ 350 w 823"/>
              <a:gd name="T89" fmla="*/ 589 h 1059"/>
              <a:gd name="T90" fmla="*/ 258 w 823"/>
              <a:gd name="T91" fmla="*/ 652 h 1059"/>
              <a:gd name="T92" fmla="*/ 219 w 823"/>
              <a:gd name="T93" fmla="*/ 712 h 1059"/>
              <a:gd name="T94" fmla="*/ 212 w 823"/>
              <a:gd name="T95" fmla="*/ 771 h 1059"/>
              <a:gd name="T96" fmla="*/ 223 w 823"/>
              <a:gd name="T97" fmla="*/ 830 h 1059"/>
              <a:gd name="T98" fmla="*/ 252 w 823"/>
              <a:gd name="T99" fmla="*/ 876 h 1059"/>
              <a:gd name="T100" fmla="*/ 304 w 823"/>
              <a:gd name="T101" fmla="*/ 902 h 1059"/>
              <a:gd name="T102" fmla="*/ 370 w 823"/>
              <a:gd name="T103" fmla="*/ 913 h 1059"/>
              <a:gd name="T104" fmla="*/ 437 w 823"/>
              <a:gd name="T105" fmla="*/ 900 h 1059"/>
              <a:gd name="T106" fmla="*/ 501 w 823"/>
              <a:gd name="T107" fmla="*/ 856 h 1059"/>
              <a:gd name="T108" fmla="*/ 541 w 823"/>
              <a:gd name="T109" fmla="*/ 788 h 1059"/>
              <a:gd name="T110" fmla="*/ 558 w 823"/>
              <a:gd name="T111" fmla="*/ 705 h 10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823" h="1059">
                <a:moveTo>
                  <a:pt x="289" y="1059"/>
                </a:moveTo>
                <a:lnTo>
                  <a:pt x="289" y="1059"/>
                </a:lnTo>
                <a:lnTo>
                  <a:pt x="256" y="1057"/>
                </a:lnTo>
                <a:lnTo>
                  <a:pt x="227" y="1053"/>
                </a:lnTo>
                <a:lnTo>
                  <a:pt x="197" y="1048"/>
                </a:lnTo>
                <a:lnTo>
                  <a:pt x="170" y="1040"/>
                </a:lnTo>
                <a:lnTo>
                  <a:pt x="144" y="1031"/>
                </a:lnTo>
                <a:lnTo>
                  <a:pt x="120" y="1018"/>
                </a:lnTo>
                <a:lnTo>
                  <a:pt x="98" y="1005"/>
                </a:lnTo>
                <a:lnTo>
                  <a:pt x="78" y="990"/>
                </a:lnTo>
                <a:lnTo>
                  <a:pt x="61" y="972"/>
                </a:lnTo>
                <a:lnTo>
                  <a:pt x="44" y="954"/>
                </a:lnTo>
                <a:lnTo>
                  <a:pt x="32" y="932"/>
                </a:lnTo>
                <a:lnTo>
                  <a:pt x="20" y="909"/>
                </a:lnTo>
                <a:lnTo>
                  <a:pt x="11" y="885"/>
                </a:lnTo>
                <a:lnTo>
                  <a:pt x="4" y="860"/>
                </a:lnTo>
                <a:lnTo>
                  <a:pt x="0" y="834"/>
                </a:lnTo>
                <a:lnTo>
                  <a:pt x="0" y="806"/>
                </a:lnTo>
                <a:lnTo>
                  <a:pt x="0" y="806"/>
                </a:lnTo>
                <a:lnTo>
                  <a:pt x="0" y="790"/>
                </a:lnTo>
                <a:lnTo>
                  <a:pt x="2" y="775"/>
                </a:lnTo>
                <a:lnTo>
                  <a:pt x="8" y="746"/>
                </a:lnTo>
                <a:lnTo>
                  <a:pt x="19" y="718"/>
                </a:lnTo>
                <a:lnTo>
                  <a:pt x="32" y="694"/>
                </a:lnTo>
                <a:lnTo>
                  <a:pt x="48" y="670"/>
                </a:lnTo>
                <a:lnTo>
                  <a:pt x="67" y="648"/>
                </a:lnTo>
                <a:lnTo>
                  <a:pt x="89" y="628"/>
                </a:lnTo>
                <a:lnTo>
                  <a:pt x="113" y="607"/>
                </a:lnTo>
                <a:lnTo>
                  <a:pt x="138" y="589"/>
                </a:lnTo>
                <a:lnTo>
                  <a:pt x="166" y="572"/>
                </a:lnTo>
                <a:lnTo>
                  <a:pt x="194" y="558"/>
                </a:lnTo>
                <a:lnTo>
                  <a:pt x="223" y="541"/>
                </a:lnTo>
                <a:lnTo>
                  <a:pt x="282" y="513"/>
                </a:lnTo>
                <a:lnTo>
                  <a:pt x="341" y="488"/>
                </a:lnTo>
                <a:lnTo>
                  <a:pt x="341" y="488"/>
                </a:lnTo>
                <a:lnTo>
                  <a:pt x="409" y="458"/>
                </a:lnTo>
                <a:lnTo>
                  <a:pt x="433" y="447"/>
                </a:lnTo>
                <a:lnTo>
                  <a:pt x="433" y="447"/>
                </a:lnTo>
                <a:lnTo>
                  <a:pt x="468" y="432"/>
                </a:lnTo>
                <a:lnTo>
                  <a:pt x="497" y="418"/>
                </a:lnTo>
                <a:lnTo>
                  <a:pt x="519" y="403"/>
                </a:lnTo>
                <a:lnTo>
                  <a:pt x="527" y="394"/>
                </a:lnTo>
                <a:lnTo>
                  <a:pt x="536" y="386"/>
                </a:lnTo>
                <a:lnTo>
                  <a:pt x="541" y="377"/>
                </a:lnTo>
                <a:lnTo>
                  <a:pt x="547" y="366"/>
                </a:lnTo>
                <a:lnTo>
                  <a:pt x="551" y="353"/>
                </a:lnTo>
                <a:lnTo>
                  <a:pt x="554" y="340"/>
                </a:lnTo>
                <a:lnTo>
                  <a:pt x="558" y="307"/>
                </a:lnTo>
                <a:lnTo>
                  <a:pt x="560" y="267"/>
                </a:lnTo>
                <a:lnTo>
                  <a:pt x="560" y="267"/>
                </a:lnTo>
                <a:lnTo>
                  <a:pt x="558" y="245"/>
                </a:lnTo>
                <a:lnTo>
                  <a:pt x="556" y="224"/>
                </a:lnTo>
                <a:lnTo>
                  <a:pt x="554" y="206"/>
                </a:lnTo>
                <a:lnTo>
                  <a:pt x="549" y="188"/>
                </a:lnTo>
                <a:lnTo>
                  <a:pt x="543" y="173"/>
                </a:lnTo>
                <a:lnTo>
                  <a:pt x="538" y="158"/>
                </a:lnTo>
                <a:lnTo>
                  <a:pt x="529" y="145"/>
                </a:lnTo>
                <a:lnTo>
                  <a:pt x="519" y="132"/>
                </a:lnTo>
                <a:lnTo>
                  <a:pt x="508" y="123"/>
                </a:lnTo>
                <a:lnTo>
                  <a:pt x="497" y="114"/>
                </a:lnTo>
                <a:lnTo>
                  <a:pt x="483" y="106"/>
                </a:lnTo>
                <a:lnTo>
                  <a:pt x="470" y="99"/>
                </a:lnTo>
                <a:lnTo>
                  <a:pt x="453" y="95"/>
                </a:lnTo>
                <a:lnTo>
                  <a:pt x="437" y="92"/>
                </a:lnTo>
                <a:lnTo>
                  <a:pt x="418" y="90"/>
                </a:lnTo>
                <a:lnTo>
                  <a:pt x="398" y="88"/>
                </a:lnTo>
                <a:lnTo>
                  <a:pt x="398" y="88"/>
                </a:lnTo>
                <a:lnTo>
                  <a:pt x="379" y="90"/>
                </a:lnTo>
                <a:lnTo>
                  <a:pt x="361" y="92"/>
                </a:lnTo>
                <a:lnTo>
                  <a:pt x="346" y="94"/>
                </a:lnTo>
                <a:lnTo>
                  <a:pt x="332" y="99"/>
                </a:lnTo>
                <a:lnTo>
                  <a:pt x="319" y="103"/>
                </a:lnTo>
                <a:lnTo>
                  <a:pt x="308" y="110"/>
                </a:lnTo>
                <a:lnTo>
                  <a:pt x="297" y="116"/>
                </a:lnTo>
                <a:lnTo>
                  <a:pt x="289" y="123"/>
                </a:lnTo>
                <a:lnTo>
                  <a:pt x="273" y="140"/>
                </a:lnTo>
                <a:lnTo>
                  <a:pt x="262" y="160"/>
                </a:lnTo>
                <a:lnTo>
                  <a:pt x="252" y="180"/>
                </a:lnTo>
                <a:lnTo>
                  <a:pt x="243" y="200"/>
                </a:lnTo>
                <a:lnTo>
                  <a:pt x="243" y="200"/>
                </a:lnTo>
                <a:lnTo>
                  <a:pt x="227" y="235"/>
                </a:lnTo>
                <a:lnTo>
                  <a:pt x="217" y="252"/>
                </a:lnTo>
                <a:lnTo>
                  <a:pt x="205" y="265"/>
                </a:lnTo>
                <a:lnTo>
                  <a:pt x="192" y="278"/>
                </a:lnTo>
                <a:lnTo>
                  <a:pt x="182" y="283"/>
                </a:lnTo>
                <a:lnTo>
                  <a:pt x="173" y="287"/>
                </a:lnTo>
                <a:lnTo>
                  <a:pt x="164" y="291"/>
                </a:lnTo>
                <a:lnTo>
                  <a:pt x="153" y="294"/>
                </a:lnTo>
                <a:lnTo>
                  <a:pt x="142" y="296"/>
                </a:lnTo>
                <a:lnTo>
                  <a:pt x="127" y="296"/>
                </a:lnTo>
                <a:lnTo>
                  <a:pt x="127" y="296"/>
                </a:lnTo>
                <a:lnTo>
                  <a:pt x="107" y="294"/>
                </a:lnTo>
                <a:lnTo>
                  <a:pt x="89" y="291"/>
                </a:lnTo>
                <a:lnTo>
                  <a:pt x="72" y="283"/>
                </a:lnTo>
                <a:lnTo>
                  <a:pt x="57" y="272"/>
                </a:lnTo>
                <a:lnTo>
                  <a:pt x="48" y="261"/>
                </a:lnTo>
                <a:lnTo>
                  <a:pt x="39" y="245"/>
                </a:lnTo>
                <a:lnTo>
                  <a:pt x="35" y="228"/>
                </a:lnTo>
                <a:lnTo>
                  <a:pt x="33" y="208"/>
                </a:lnTo>
                <a:lnTo>
                  <a:pt x="33" y="208"/>
                </a:lnTo>
                <a:lnTo>
                  <a:pt x="33" y="195"/>
                </a:lnTo>
                <a:lnTo>
                  <a:pt x="35" y="182"/>
                </a:lnTo>
                <a:lnTo>
                  <a:pt x="39" y="169"/>
                </a:lnTo>
                <a:lnTo>
                  <a:pt x="43" y="158"/>
                </a:lnTo>
                <a:lnTo>
                  <a:pt x="48" y="147"/>
                </a:lnTo>
                <a:lnTo>
                  <a:pt x="54" y="136"/>
                </a:lnTo>
                <a:lnTo>
                  <a:pt x="68" y="114"/>
                </a:lnTo>
                <a:lnTo>
                  <a:pt x="87" y="95"/>
                </a:lnTo>
                <a:lnTo>
                  <a:pt x="109" y="79"/>
                </a:lnTo>
                <a:lnTo>
                  <a:pt x="135" y="62"/>
                </a:lnTo>
                <a:lnTo>
                  <a:pt x="160" y="49"/>
                </a:lnTo>
                <a:lnTo>
                  <a:pt x="192" y="36"/>
                </a:lnTo>
                <a:lnTo>
                  <a:pt x="223" y="27"/>
                </a:lnTo>
                <a:lnTo>
                  <a:pt x="258" y="18"/>
                </a:lnTo>
                <a:lnTo>
                  <a:pt x="293" y="11"/>
                </a:lnTo>
                <a:lnTo>
                  <a:pt x="330" y="5"/>
                </a:lnTo>
                <a:lnTo>
                  <a:pt x="367" y="2"/>
                </a:lnTo>
                <a:lnTo>
                  <a:pt x="403" y="0"/>
                </a:lnTo>
                <a:lnTo>
                  <a:pt x="442" y="0"/>
                </a:lnTo>
                <a:lnTo>
                  <a:pt x="442" y="0"/>
                </a:lnTo>
                <a:lnTo>
                  <a:pt x="481" y="0"/>
                </a:lnTo>
                <a:lnTo>
                  <a:pt x="516" y="2"/>
                </a:lnTo>
                <a:lnTo>
                  <a:pt x="547" y="5"/>
                </a:lnTo>
                <a:lnTo>
                  <a:pt x="578" y="11"/>
                </a:lnTo>
                <a:lnTo>
                  <a:pt x="606" y="16"/>
                </a:lnTo>
                <a:lnTo>
                  <a:pt x="630" y="25"/>
                </a:lnTo>
                <a:lnTo>
                  <a:pt x="654" y="35"/>
                </a:lnTo>
                <a:lnTo>
                  <a:pt x="674" y="46"/>
                </a:lnTo>
                <a:lnTo>
                  <a:pt x="691" y="59"/>
                </a:lnTo>
                <a:lnTo>
                  <a:pt x="707" y="71"/>
                </a:lnTo>
                <a:lnTo>
                  <a:pt x="720" y="86"/>
                </a:lnTo>
                <a:lnTo>
                  <a:pt x="731" y="105"/>
                </a:lnTo>
                <a:lnTo>
                  <a:pt x="738" y="123"/>
                </a:lnTo>
                <a:lnTo>
                  <a:pt x="744" y="141"/>
                </a:lnTo>
                <a:lnTo>
                  <a:pt x="748" y="164"/>
                </a:lnTo>
                <a:lnTo>
                  <a:pt x="749" y="188"/>
                </a:lnTo>
                <a:lnTo>
                  <a:pt x="749" y="694"/>
                </a:lnTo>
                <a:lnTo>
                  <a:pt x="749" y="694"/>
                </a:lnTo>
                <a:lnTo>
                  <a:pt x="749" y="779"/>
                </a:lnTo>
                <a:lnTo>
                  <a:pt x="751" y="821"/>
                </a:lnTo>
                <a:lnTo>
                  <a:pt x="757" y="862"/>
                </a:lnTo>
                <a:lnTo>
                  <a:pt x="762" y="902"/>
                </a:lnTo>
                <a:lnTo>
                  <a:pt x="768" y="920"/>
                </a:lnTo>
                <a:lnTo>
                  <a:pt x="773" y="939"/>
                </a:lnTo>
                <a:lnTo>
                  <a:pt x="781" y="955"/>
                </a:lnTo>
                <a:lnTo>
                  <a:pt x="788" y="972"/>
                </a:lnTo>
                <a:lnTo>
                  <a:pt x="799" y="989"/>
                </a:lnTo>
                <a:lnTo>
                  <a:pt x="808" y="1003"/>
                </a:lnTo>
                <a:lnTo>
                  <a:pt x="823" y="1022"/>
                </a:lnTo>
                <a:lnTo>
                  <a:pt x="589" y="1036"/>
                </a:lnTo>
                <a:lnTo>
                  <a:pt x="587" y="1027"/>
                </a:lnTo>
                <a:lnTo>
                  <a:pt x="587" y="1027"/>
                </a:lnTo>
                <a:lnTo>
                  <a:pt x="576" y="983"/>
                </a:lnTo>
                <a:lnTo>
                  <a:pt x="571" y="946"/>
                </a:lnTo>
                <a:lnTo>
                  <a:pt x="571" y="946"/>
                </a:lnTo>
                <a:lnTo>
                  <a:pt x="565" y="920"/>
                </a:lnTo>
                <a:lnTo>
                  <a:pt x="564" y="909"/>
                </a:lnTo>
                <a:lnTo>
                  <a:pt x="562" y="902"/>
                </a:lnTo>
                <a:lnTo>
                  <a:pt x="562" y="902"/>
                </a:lnTo>
                <a:lnTo>
                  <a:pt x="560" y="902"/>
                </a:lnTo>
                <a:lnTo>
                  <a:pt x="560" y="904"/>
                </a:lnTo>
                <a:lnTo>
                  <a:pt x="560" y="904"/>
                </a:lnTo>
                <a:lnTo>
                  <a:pt x="538" y="935"/>
                </a:lnTo>
                <a:lnTo>
                  <a:pt x="516" y="963"/>
                </a:lnTo>
                <a:lnTo>
                  <a:pt x="490" y="990"/>
                </a:lnTo>
                <a:lnTo>
                  <a:pt x="477" y="1001"/>
                </a:lnTo>
                <a:lnTo>
                  <a:pt x="462" y="1013"/>
                </a:lnTo>
                <a:lnTo>
                  <a:pt x="448" y="1022"/>
                </a:lnTo>
                <a:lnTo>
                  <a:pt x="429" y="1031"/>
                </a:lnTo>
                <a:lnTo>
                  <a:pt x="411" y="1040"/>
                </a:lnTo>
                <a:lnTo>
                  <a:pt x="391" y="1046"/>
                </a:lnTo>
                <a:lnTo>
                  <a:pt x="368" y="1051"/>
                </a:lnTo>
                <a:lnTo>
                  <a:pt x="344" y="1055"/>
                </a:lnTo>
                <a:lnTo>
                  <a:pt x="317" y="1057"/>
                </a:lnTo>
                <a:lnTo>
                  <a:pt x="289" y="1059"/>
                </a:lnTo>
                <a:close/>
                <a:moveTo>
                  <a:pt x="560" y="486"/>
                </a:moveTo>
                <a:lnTo>
                  <a:pt x="457" y="536"/>
                </a:lnTo>
                <a:lnTo>
                  <a:pt x="457" y="536"/>
                </a:lnTo>
                <a:lnTo>
                  <a:pt x="400" y="563"/>
                </a:lnTo>
                <a:lnTo>
                  <a:pt x="350" y="589"/>
                </a:lnTo>
                <a:lnTo>
                  <a:pt x="308" y="615"/>
                </a:lnTo>
                <a:lnTo>
                  <a:pt x="289" y="626"/>
                </a:lnTo>
                <a:lnTo>
                  <a:pt x="273" y="639"/>
                </a:lnTo>
                <a:lnTo>
                  <a:pt x="258" y="652"/>
                </a:lnTo>
                <a:lnTo>
                  <a:pt x="247" y="666"/>
                </a:lnTo>
                <a:lnTo>
                  <a:pt x="236" y="681"/>
                </a:lnTo>
                <a:lnTo>
                  <a:pt x="227" y="696"/>
                </a:lnTo>
                <a:lnTo>
                  <a:pt x="219" y="712"/>
                </a:lnTo>
                <a:lnTo>
                  <a:pt x="216" y="731"/>
                </a:lnTo>
                <a:lnTo>
                  <a:pt x="212" y="749"/>
                </a:lnTo>
                <a:lnTo>
                  <a:pt x="212" y="771"/>
                </a:lnTo>
                <a:lnTo>
                  <a:pt x="212" y="771"/>
                </a:lnTo>
                <a:lnTo>
                  <a:pt x="212" y="788"/>
                </a:lnTo>
                <a:lnTo>
                  <a:pt x="214" y="803"/>
                </a:lnTo>
                <a:lnTo>
                  <a:pt x="217" y="817"/>
                </a:lnTo>
                <a:lnTo>
                  <a:pt x="223" y="830"/>
                </a:lnTo>
                <a:lnTo>
                  <a:pt x="229" y="843"/>
                </a:lnTo>
                <a:lnTo>
                  <a:pt x="236" y="856"/>
                </a:lnTo>
                <a:lnTo>
                  <a:pt x="243" y="865"/>
                </a:lnTo>
                <a:lnTo>
                  <a:pt x="252" y="876"/>
                </a:lnTo>
                <a:lnTo>
                  <a:pt x="263" y="884"/>
                </a:lnTo>
                <a:lnTo>
                  <a:pt x="276" y="891"/>
                </a:lnTo>
                <a:lnTo>
                  <a:pt x="289" y="898"/>
                </a:lnTo>
                <a:lnTo>
                  <a:pt x="304" y="902"/>
                </a:lnTo>
                <a:lnTo>
                  <a:pt x="319" y="908"/>
                </a:lnTo>
                <a:lnTo>
                  <a:pt x="335" y="909"/>
                </a:lnTo>
                <a:lnTo>
                  <a:pt x="352" y="911"/>
                </a:lnTo>
                <a:lnTo>
                  <a:pt x="370" y="913"/>
                </a:lnTo>
                <a:lnTo>
                  <a:pt x="370" y="913"/>
                </a:lnTo>
                <a:lnTo>
                  <a:pt x="394" y="911"/>
                </a:lnTo>
                <a:lnTo>
                  <a:pt x="416" y="908"/>
                </a:lnTo>
                <a:lnTo>
                  <a:pt x="437" y="900"/>
                </a:lnTo>
                <a:lnTo>
                  <a:pt x="455" y="893"/>
                </a:lnTo>
                <a:lnTo>
                  <a:pt x="472" y="882"/>
                </a:lnTo>
                <a:lnTo>
                  <a:pt x="488" y="871"/>
                </a:lnTo>
                <a:lnTo>
                  <a:pt x="501" y="856"/>
                </a:lnTo>
                <a:lnTo>
                  <a:pt x="514" y="841"/>
                </a:lnTo>
                <a:lnTo>
                  <a:pt x="525" y="825"/>
                </a:lnTo>
                <a:lnTo>
                  <a:pt x="534" y="806"/>
                </a:lnTo>
                <a:lnTo>
                  <a:pt x="541" y="788"/>
                </a:lnTo>
                <a:lnTo>
                  <a:pt x="549" y="768"/>
                </a:lnTo>
                <a:lnTo>
                  <a:pt x="553" y="747"/>
                </a:lnTo>
                <a:lnTo>
                  <a:pt x="556" y="727"/>
                </a:lnTo>
                <a:lnTo>
                  <a:pt x="558" y="705"/>
                </a:lnTo>
                <a:lnTo>
                  <a:pt x="560" y="685"/>
                </a:lnTo>
                <a:lnTo>
                  <a:pt x="560" y="486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/>
          </xdr:cNvSpPr>
        </xdr:nvSpPr>
        <xdr:spPr bwMode="blackGray">
          <a:xfrm>
            <a:off x="8239038" y="408750"/>
            <a:ext cx="106395" cy="137369"/>
          </a:xfrm>
          <a:custGeom>
            <a:avLst/>
            <a:gdLst>
              <a:gd name="T0" fmla="*/ 256 w 823"/>
              <a:gd name="T1" fmla="*/ 1057 h 1059"/>
              <a:gd name="T2" fmla="*/ 170 w 823"/>
              <a:gd name="T3" fmla="*/ 1040 h 1059"/>
              <a:gd name="T4" fmla="*/ 98 w 823"/>
              <a:gd name="T5" fmla="*/ 1005 h 1059"/>
              <a:gd name="T6" fmla="*/ 44 w 823"/>
              <a:gd name="T7" fmla="*/ 954 h 1059"/>
              <a:gd name="T8" fmla="*/ 11 w 823"/>
              <a:gd name="T9" fmla="*/ 885 h 1059"/>
              <a:gd name="T10" fmla="*/ 0 w 823"/>
              <a:gd name="T11" fmla="*/ 806 h 1059"/>
              <a:gd name="T12" fmla="*/ 2 w 823"/>
              <a:gd name="T13" fmla="*/ 775 h 1059"/>
              <a:gd name="T14" fmla="*/ 32 w 823"/>
              <a:gd name="T15" fmla="*/ 694 h 1059"/>
              <a:gd name="T16" fmla="*/ 89 w 823"/>
              <a:gd name="T17" fmla="*/ 628 h 1059"/>
              <a:gd name="T18" fmla="*/ 166 w 823"/>
              <a:gd name="T19" fmla="*/ 572 h 1059"/>
              <a:gd name="T20" fmla="*/ 282 w 823"/>
              <a:gd name="T21" fmla="*/ 513 h 1059"/>
              <a:gd name="T22" fmla="*/ 409 w 823"/>
              <a:gd name="T23" fmla="*/ 458 h 1059"/>
              <a:gd name="T24" fmla="*/ 468 w 823"/>
              <a:gd name="T25" fmla="*/ 432 h 1059"/>
              <a:gd name="T26" fmla="*/ 527 w 823"/>
              <a:gd name="T27" fmla="*/ 394 h 1059"/>
              <a:gd name="T28" fmla="*/ 547 w 823"/>
              <a:gd name="T29" fmla="*/ 366 h 1059"/>
              <a:gd name="T30" fmla="*/ 558 w 823"/>
              <a:gd name="T31" fmla="*/ 307 h 1059"/>
              <a:gd name="T32" fmla="*/ 558 w 823"/>
              <a:gd name="T33" fmla="*/ 245 h 1059"/>
              <a:gd name="T34" fmla="*/ 549 w 823"/>
              <a:gd name="T35" fmla="*/ 188 h 1059"/>
              <a:gd name="T36" fmla="*/ 529 w 823"/>
              <a:gd name="T37" fmla="*/ 145 h 1059"/>
              <a:gd name="T38" fmla="*/ 497 w 823"/>
              <a:gd name="T39" fmla="*/ 114 h 1059"/>
              <a:gd name="T40" fmla="*/ 453 w 823"/>
              <a:gd name="T41" fmla="*/ 95 h 1059"/>
              <a:gd name="T42" fmla="*/ 398 w 823"/>
              <a:gd name="T43" fmla="*/ 88 h 1059"/>
              <a:gd name="T44" fmla="*/ 361 w 823"/>
              <a:gd name="T45" fmla="*/ 92 h 1059"/>
              <a:gd name="T46" fmla="*/ 319 w 823"/>
              <a:gd name="T47" fmla="*/ 103 h 1059"/>
              <a:gd name="T48" fmla="*/ 289 w 823"/>
              <a:gd name="T49" fmla="*/ 123 h 1059"/>
              <a:gd name="T50" fmla="*/ 252 w 823"/>
              <a:gd name="T51" fmla="*/ 180 h 1059"/>
              <a:gd name="T52" fmla="*/ 227 w 823"/>
              <a:gd name="T53" fmla="*/ 235 h 1059"/>
              <a:gd name="T54" fmla="*/ 192 w 823"/>
              <a:gd name="T55" fmla="*/ 278 h 1059"/>
              <a:gd name="T56" fmla="*/ 164 w 823"/>
              <a:gd name="T57" fmla="*/ 291 h 1059"/>
              <a:gd name="T58" fmla="*/ 127 w 823"/>
              <a:gd name="T59" fmla="*/ 296 h 1059"/>
              <a:gd name="T60" fmla="*/ 89 w 823"/>
              <a:gd name="T61" fmla="*/ 291 h 1059"/>
              <a:gd name="T62" fmla="*/ 48 w 823"/>
              <a:gd name="T63" fmla="*/ 261 h 1059"/>
              <a:gd name="T64" fmla="*/ 33 w 823"/>
              <a:gd name="T65" fmla="*/ 208 h 1059"/>
              <a:gd name="T66" fmla="*/ 35 w 823"/>
              <a:gd name="T67" fmla="*/ 182 h 1059"/>
              <a:gd name="T68" fmla="*/ 48 w 823"/>
              <a:gd name="T69" fmla="*/ 147 h 1059"/>
              <a:gd name="T70" fmla="*/ 87 w 823"/>
              <a:gd name="T71" fmla="*/ 95 h 1059"/>
              <a:gd name="T72" fmla="*/ 160 w 823"/>
              <a:gd name="T73" fmla="*/ 49 h 1059"/>
              <a:gd name="T74" fmla="*/ 258 w 823"/>
              <a:gd name="T75" fmla="*/ 18 h 1059"/>
              <a:gd name="T76" fmla="*/ 367 w 823"/>
              <a:gd name="T77" fmla="*/ 2 h 1059"/>
              <a:gd name="T78" fmla="*/ 442 w 823"/>
              <a:gd name="T79" fmla="*/ 0 h 1059"/>
              <a:gd name="T80" fmla="*/ 547 w 823"/>
              <a:gd name="T81" fmla="*/ 5 h 1059"/>
              <a:gd name="T82" fmla="*/ 630 w 823"/>
              <a:gd name="T83" fmla="*/ 25 h 1059"/>
              <a:gd name="T84" fmla="*/ 691 w 823"/>
              <a:gd name="T85" fmla="*/ 59 h 1059"/>
              <a:gd name="T86" fmla="*/ 731 w 823"/>
              <a:gd name="T87" fmla="*/ 105 h 1059"/>
              <a:gd name="T88" fmla="*/ 748 w 823"/>
              <a:gd name="T89" fmla="*/ 164 h 1059"/>
              <a:gd name="T90" fmla="*/ 749 w 823"/>
              <a:gd name="T91" fmla="*/ 694 h 1059"/>
              <a:gd name="T92" fmla="*/ 757 w 823"/>
              <a:gd name="T93" fmla="*/ 862 h 1059"/>
              <a:gd name="T94" fmla="*/ 773 w 823"/>
              <a:gd name="T95" fmla="*/ 939 h 1059"/>
              <a:gd name="T96" fmla="*/ 799 w 823"/>
              <a:gd name="T97" fmla="*/ 989 h 1059"/>
              <a:gd name="T98" fmla="*/ 589 w 823"/>
              <a:gd name="T99" fmla="*/ 1036 h 1059"/>
              <a:gd name="T100" fmla="*/ 576 w 823"/>
              <a:gd name="T101" fmla="*/ 983 h 1059"/>
              <a:gd name="T102" fmla="*/ 565 w 823"/>
              <a:gd name="T103" fmla="*/ 920 h 1059"/>
              <a:gd name="T104" fmla="*/ 562 w 823"/>
              <a:gd name="T105" fmla="*/ 902 h 1059"/>
              <a:gd name="T106" fmla="*/ 560 w 823"/>
              <a:gd name="T107" fmla="*/ 904 h 1059"/>
              <a:gd name="T108" fmla="*/ 490 w 823"/>
              <a:gd name="T109" fmla="*/ 990 h 1059"/>
              <a:gd name="T110" fmla="*/ 448 w 823"/>
              <a:gd name="T111" fmla="*/ 1022 h 1059"/>
              <a:gd name="T112" fmla="*/ 391 w 823"/>
              <a:gd name="T113" fmla="*/ 1046 h 1059"/>
              <a:gd name="T114" fmla="*/ 317 w 823"/>
              <a:gd name="T115" fmla="*/ 1057 h 10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823" h="1059">
                <a:moveTo>
                  <a:pt x="289" y="1059"/>
                </a:moveTo>
                <a:lnTo>
                  <a:pt x="289" y="1059"/>
                </a:lnTo>
                <a:lnTo>
                  <a:pt x="256" y="1057"/>
                </a:lnTo>
                <a:lnTo>
                  <a:pt x="227" y="1053"/>
                </a:lnTo>
                <a:lnTo>
                  <a:pt x="197" y="1048"/>
                </a:lnTo>
                <a:lnTo>
                  <a:pt x="170" y="1040"/>
                </a:lnTo>
                <a:lnTo>
                  <a:pt x="144" y="1031"/>
                </a:lnTo>
                <a:lnTo>
                  <a:pt x="120" y="1018"/>
                </a:lnTo>
                <a:lnTo>
                  <a:pt x="98" y="1005"/>
                </a:lnTo>
                <a:lnTo>
                  <a:pt x="78" y="990"/>
                </a:lnTo>
                <a:lnTo>
                  <a:pt x="61" y="972"/>
                </a:lnTo>
                <a:lnTo>
                  <a:pt x="44" y="954"/>
                </a:lnTo>
                <a:lnTo>
                  <a:pt x="32" y="932"/>
                </a:lnTo>
                <a:lnTo>
                  <a:pt x="20" y="909"/>
                </a:lnTo>
                <a:lnTo>
                  <a:pt x="11" y="885"/>
                </a:lnTo>
                <a:lnTo>
                  <a:pt x="4" y="860"/>
                </a:lnTo>
                <a:lnTo>
                  <a:pt x="0" y="834"/>
                </a:lnTo>
                <a:lnTo>
                  <a:pt x="0" y="806"/>
                </a:lnTo>
                <a:lnTo>
                  <a:pt x="0" y="806"/>
                </a:lnTo>
                <a:lnTo>
                  <a:pt x="0" y="790"/>
                </a:lnTo>
                <a:lnTo>
                  <a:pt x="2" y="775"/>
                </a:lnTo>
                <a:lnTo>
                  <a:pt x="8" y="746"/>
                </a:lnTo>
                <a:lnTo>
                  <a:pt x="19" y="718"/>
                </a:lnTo>
                <a:lnTo>
                  <a:pt x="32" y="694"/>
                </a:lnTo>
                <a:lnTo>
                  <a:pt x="48" y="670"/>
                </a:lnTo>
                <a:lnTo>
                  <a:pt x="67" y="648"/>
                </a:lnTo>
                <a:lnTo>
                  <a:pt x="89" y="628"/>
                </a:lnTo>
                <a:lnTo>
                  <a:pt x="113" y="607"/>
                </a:lnTo>
                <a:lnTo>
                  <a:pt x="138" y="589"/>
                </a:lnTo>
                <a:lnTo>
                  <a:pt x="166" y="572"/>
                </a:lnTo>
                <a:lnTo>
                  <a:pt x="194" y="558"/>
                </a:lnTo>
                <a:lnTo>
                  <a:pt x="223" y="541"/>
                </a:lnTo>
                <a:lnTo>
                  <a:pt x="282" y="513"/>
                </a:lnTo>
                <a:lnTo>
                  <a:pt x="341" y="488"/>
                </a:lnTo>
                <a:lnTo>
                  <a:pt x="341" y="488"/>
                </a:lnTo>
                <a:lnTo>
                  <a:pt x="409" y="458"/>
                </a:lnTo>
                <a:lnTo>
                  <a:pt x="433" y="447"/>
                </a:lnTo>
                <a:lnTo>
                  <a:pt x="433" y="447"/>
                </a:lnTo>
                <a:lnTo>
                  <a:pt x="468" y="432"/>
                </a:lnTo>
                <a:lnTo>
                  <a:pt x="497" y="418"/>
                </a:lnTo>
                <a:lnTo>
                  <a:pt x="519" y="403"/>
                </a:lnTo>
                <a:lnTo>
                  <a:pt x="527" y="394"/>
                </a:lnTo>
                <a:lnTo>
                  <a:pt x="536" y="386"/>
                </a:lnTo>
                <a:lnTo>
                  <a:pt x="541" y="377"/>
                </a:lnTo>
                <a:lnTo>
                  <a:pt x="547" y="366"/>
                </a:lnTo>
                <a:lnTo>
                  <a:pt x="551" y="353"/>
                </a:lnTo>
                <a:lnTo>
                  <a:pt x="554" y="340"/>
                </a:lnTo>
                <a:lnTo>
                  <a:pt x="558" y="307"/>
                </a:lnTo>
                <a:lnTo>
                  <a:pt x="560" y="267"/>
                </a:lnTo>
                <a:lnTo>
                  <a:pt x="560" y="267"/>
                </a:lnTo>
                <a:lnTo>
                  <a:pt x="558" y="245"/>
                </a:lnTo>
                <a:lnTo>
                  <a:pt x="556" y="224"/>
                </a:lnTo>
                <a:lnTo>
                  <a:pt x="554" y="206"/>
                </a:lnTo>
                <a:lnTo>
                  <a:pt x="549" y="188"/>
                </a:lnTo>
                <a:lnTo>
                  <a:pt x="543" y="173"/>
                </a:lnTo>
                <a:lnTo>
                  <a:pt x="538" y="158"/>
                </a:lnTo>
                <a:lnTo>
                  <a:pt x="529" y="145"/>
                </a:lnTo>
                <a:lnTo>
                  <a:pt x="519" y="132"/>
                </a:lnTo>
                <a:lnTo>
                  <a:pt x="508" y="123"/>
                </a:lnTo>
                <a:lnTo>
                  <a:pt x="497" y="114"/>
                </a:lnTo>
                <a:lnTo>
                  <a:pt x="483" y="106"/>
                </a:lnTo>
                <a:lnTo>
                  <a:pt x="470" y="99"/>
                </a:lnTo>
                <a:lnTo>
                  <a:pt x="453" y="95"/>
                </a:lnTo>
                <a:lnTo>
                  <a:pt x="437" y="92"/>
                </a:lnTo>
                <a:lnTo>
                  <a:pt x="418" y="90"/>
                </a:lnTo>
                <a:lnTo>
                  <a:pt x="398" y="88"/>
                </a:lnTo>
                <a:lnTo>
                  <a:pt x="398" y="88"/>
                </a:lnTo>
                <a:lnTo>
                  <a:pt x="379" y="90"/>
                </a:lnTo>
                <a:lnTo>
                  <a:pt x="361" y="92"/>
                </a:lnTo>
                <a:lnTo>
                  <a:pt x="346" y="94"/>
                </a:lnTo>
                <a:lnTo>
                  <a:pt x="332" y="99"/>
                </a:lnTo>
                <a:lnTo>
                  <a:pt x="319" y="103"/>
                </a:lnTo>
                <a:lnTo>
                  <a:pt x="308" y="110"/>
                </a:lnTo>
                <a:lnTo>
                  <a:pt x="297" y="116"/>
                </a:lnTo>
                <a:lnTo>
                  <a:pt x="289" y="123"/>
                </a:lnTo>
                <a:lnTo>
                  <a:pt x="273" y="140"/>
                </a:lnTo>
                <a:lnTo>
                  <a:pt x="262" y="160"/>
                </a:lnTo>
                <a:lnTo>
                  <a:pt x="252" y="180"/>
                </a:lnTo>
                <a:lnTo>
                  <a:pt x="243" y="200"/>
                </a:lnTo>
                <a:lnTo>
                  <a:pt x="243" y="200"/>
                </a:lnTo>
                <a:lnTo>
                  <a:pt x="227" y="235"/>
                </a:lnTo>
                <a:lnTo>
                  <a:pt x="217" y="252"/>
                </a:lnTo>
                <a:lnTo>
                  <a:pt x="205" y="265"/>
                </a:lnTo>
                <a:lnTo>
                  <a:pt x="192" y="278"/>
                </a:lnTo>
                <a:lnTo>
                  <a:pt x="182" y="283"/>
                </a:lnTo>
                <a:lnTo>
                  <a:pt x="173" y="287"/>
                </a:lnTo>
                <a:lnTo>
                  <a:pt x="164" y="291"/>
                </a:lnTo>
                <a:lnTo>
                  <a:pt x="153" y="294"/>
                </a:lnTo>
                <a:lnTo>
                  <a:pt x="142" y="296"/>
                </a:lnTo>
                <a:lnTo>
                  <a:pt x="127" y="296"/>
                </a:lnTo>
                <a:lnTo>
                  <a:pt x="127" y="296"/>
                </a:lnTo>
                <a:lnTo>
                  <a:pt x="107" y="294"/>
                </a:lnTo>
                <a:lnTo>
                  <a:pt x="89" y="291"/>
                </a:lnTo>
                <a:lnTo>
                  <a:pt x="72" y="283"/>
                </a:lnTo>
                <a:lnTo>
                  <a:pt x="57" y="272"/>
                </a:lnTo>
                <a:lnTo>
                  <a:pt x="48" y="261"/>
                </a:lnTo>
                <a:lnTo>
                  <a:pt x="39" y="245"/>
                </a:lnTo>
                <a:lnTo>
                  <a:pt x="35" y="228"/>
                </a:lnTo>
                <a:lnTo>
                  <a:pt x="33" y="208"/>
                </a:lnTo>
                <a:lnTo>
                  <a:pt x="33" y="208"/>
                </a:lnTo>
                <a:lnTo>
                  <a:pt x="33" y="195"/>
                </a:lnTo>
                <a:lnTo>
                  <a:pt x="35" y="182"/>
                </a:lnTo>
                <a:lnTo>
                  <a:pt x="39" y="169"/>
                </a:lnTo>
                <a:lnTo>
                  <a:pt x="43" y="158"/>
                </a:lnTo>
                <a:lnTo>
                  <a:pt x="48" y="147"/>
                </a:lnTo>
                <a:lnTo>
                  <a:pt x="54" y="136"/>
                </a:lnTo>
                <a:lnTo>
                  <a:pt x="68" y="114"/>
                </a:lnTo>
                <a:lnTo>
                  <a:pt x="87" y="95"/>
                </a:lnTo>
                <a:lnTo>
                  <a:pt x="109" y="79"/>
                </a:lnTo>
                <a:lnTo>
                  <a:pt x="135" y="62"/>
                </a:lnTo>
                <a:lnTo>
                  <a:pt x="160" y="49"/>
                </a:lnTo>
                <a:lnTo>
                  <a:pt x="192" y="36"/>
                </a:lnTo>
                <a:lnTo>
                  <a:pt x="223" y="27"/>
                </a:lnTo>
                <a:lnTo>
                  <a:pt x="258" y="18"/>
                </a:lnTo>
                <a:lnTo>
                  <a:pt x="293" y="11"/>
                </a:lnTo>
                <a:lnTo>
                  <a:pt x="330" y="5"/>
                </a:lnTo>
                <a:lnTo>
                  <a:pt x="367" y="2"/>
                </a:lnTo>
                <a:lnTo>
                  <a:pt x="403" y="0"/>
                </a:lnTo>
                <a:lnTo>
                  <a:pt x="442" y="0"/>
                </a:lnTo>
                <a:lnTo>
                  <a:pt x="442" y="0"/>
                </a:lnTo>
                <a:lnTo>
                  <a:pt x="481" y="0"/>
                </a:lnTo>
                <a:lnTo>
                  <a:pt x="516" y="2"/>
                </a:lnTo>
                <a:lnTo>
                  <a:pt x="547" y="5"/>
                </a:lnTo>
                <a:lnTo>
                  <a:pt x="578" y="11"/>
                </a:lnTo>
                <a:lnTo>
                  <a:pt x="606" y="16"/>
                </a:lnTo>
                <a:lnTo>
                  <a:pt x="630" y="25"/>
                </a:lnTo>
                <a:lnTo>
                  <a:pt x="654" y="35"/>
                </a:lnTo>
                <a:lnTo>
                  <a:pt x="674" y="46"/>
                </a:lnTo>
                <a:lnTo>
                  <a:pt x="691" y="59"/>
                </a:lnTo>
                <a:lnTo>
                  <a:pt x="707" y="71"/>
                </a:lnTo>
                <a:lnTo>
                  <a:pt x="720" y="86"/>
                </a:lnTo>
                <a:lnTo>
                  <a:pt x="731" y="105"/>
                </a:lnTo>
                <a:lnTo>
                  <a:pt x="738" y="123"/>
                </a:lnTo>
                <a:lnTo>
                  <a:pt x="744" y="141"/>
                </a:lnTo>
                <a:lnTo>
                  <a:pt x="748" y="164"/>
                </a:lnTo>
                <a:lnTo>
                  <a:pt x="749" y="188"/>
                </a:lnTo>
                <a:lnTo>
                  <a:pt x="749" y="694"/>
                </a:lnTo>
                <a:lnTo>
                  <a:pt x="749" y="694"/>
                </a:lnTo>
                <a:lnTo>
                  <a:pt x="749" y="779"/>
                </a:lnTo>
                <a:lnTo>
                  <a:pt x="751" y="821"/>
                </a:lnTo>
                <a:lnTo>
                  <a:pt x="757" y="862"/>
                </a:lnTo>
                <a:lnTo>
                  <a:pt x="762" y="902"/>
                </a:lnTo>
                <a:lnTo>
                  <a:pt x="768" y="920"/>
                </a:lnTo>
                <a:lnTo>
                  <a:pt x="773" y="939"/>
                </a:lnTo>
                <a:lnTo>
                  <a:pt x="781" y="955"/>
                </a:lnTo>
                <a:lnTo>
                  <a:pt x="788" y="972"/>
                </a:lnTo>
                <a:lnTo>
                  <a:pt x="799" y="989"/>
                </a:lnTo>
                <a:lnTo>
                  <a:pt x="808" y="1003"/>
                </a:lnTo>
                <a:lnTo>
                  <a:pt x="823" y="1022"/>
                </a:lnTo>
                <a:lnTo>
                  <a:pt x="589" y="1036"/>
                </a:lnTo>
                <a:lnTo>
                  <a:pt x="587" y="1027"/>
                </a:lnTo>
                <a:lnTo>
                  <a:pt x="587" y="1027"/>
                </a:lnTo>
                <a:lnTo>
                  <a:pt x="576" y="983"/>
                </a:lnTo>
                <a:lnTo>
                  <a:pt x="571" y="946"/>
                </a:lnTo>
                <a:lnTo>
                  <a:pt x="571" y="946"/>
                </a:lnTo>
                <a:lnTo>
                  <a:pt x="565" y="920"/>
                </a:lnTo>
                <a:lnTo>
                  <a:pt x="564" y="909"/>
                </a:lnTo>
                <a:lnTo>
                  <a:pt x="562" y="902"/>
                </a:lnTo>
                <a:lnTo>
                  <a:pt x="562" y="902"/>
                </a:lnTo>
                <a:lnTo>
                  <a:pt x="560" y="902"/>
                </a:lnTo>
                <a:lnTo>
                  <a:pt x="560" y="904"/>
                </a:lnTo>
                <a:lnTo>
                  <a:pt x="560" y="904"/>
                </a:lnTo>
                <a:lnTo>
                  <a:pt x="538" y="935"/>
                </a:lnTo>
                <a:lnTo>
                  <a:pt x="516" y="963"/>
                </a:lnTo>
                <a:lnTo>
                  <a:pt x="490" y="990"/>
                </a:lnTo>
                <a:lnTo>
                  <a:pt x="477" y="1001"/>
                </a:lnTo>
                <a:lnTo>
                  <a:pt x="462" y="1013"/>
                </a:lnTo>
                <a:lnTo>
                  <a:pt x="448" y="1022"/>
                </a:lnTo>
                <a:lnTo>
                  <a:pt x="429" y="1031"/>
                </a:lnTo>
                <a:lnTo>
                  <a:pt x="411" y="1040"/>
                </a:lnTo>
                <a:lnTo>
                  <a:pt x="391" y="1046"/>
                </a:lnTo>
                <a:lnTo>
                  <a:pt x="368" y="1051"/>
                </a:lnTo>
                <a:lnTo>
                  <a:pt x="344" y="1055"/>
                </a:lnTo>
                <a:lnTo>
                  <a:pt x="317" y="1057"/>
                </a:lnTo>
                <a:lnTo>
                  <a:pt x="289" y="1059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/>
          </xdr:cNvSpPr>
        </xdr:nvSpPr>
        <xdr:spPr bwMode="blackGray">
          <a:xfrm>
            <a:off x="8266494" y="471425"/>
            <a:ext cx="45475" cy="55806"/>
          </a:xfrm>
          <a:custGeom>
            <a:avLst/>
            <a:gdLst>
              <a:gd name="T0" fmla="*/ 348 w 348"/>
              <a:gd name="T1" fmla="*/ 0 h 427"/>
              <a:gd name="T2" fmla="*/ 245 w 348"/>
              <a:gd name="T3" fmla="*/ 50 h 427"/>
              <a:gd name="T4" fmla="*/ 245 w 348"/>
              <a:gd name="T5" fmla="*/ 50 h 427"/>
              <a:gd name="T6" fmla="*/ 188 w 348"/>
              <a:gd name="T7" fmla="*/ 77 h 427"/>
              <a:gd name="T8" fmla="*/ 138 w 348"/>
              <a:gd name="T9" fmla="*/ 103 h 427"/>
              <a:gd name="T10" fmla="*/ 96 w 348"/>
              <a:gd name="T11" fmla="*/ 129 h 427"/>
              <a:gd name="T12" fmla="*/ 77 w 348"/>
              <a:gd name="T13" fmla="*/ 140 h 427"/>
              <a:gd name="T14" fmla="*/ 61 w 348"/>
              <a:gd name="T15" fmla="*/ 153 h 427"/>
              <a:gd name="T16" fmla="*/ 46 w 348"/>
              <a:gd name="T17" fmla="*/ 166 h 427"/>
              <a:gd name="T18" fmla="*/ 35 w 348"/>
              <a:gd name="T19" fmla="*/ 180 h 427"/>
              <a:gd name="T20" fmla="*/ 24 w 348"/>
              <a:gd name="T21" fmla="*/ 195 h 427"/>
              <a:gd name="T22" fmla="*/ 15 w 348"/>
              <a:gd name="T23" fmla="*/ 210 h 427"/>
              <a:gd name="T24" fmla="*/ 7 w 348"/>
              <a:gd name="T25" fmla="*/ 226 h 427"/>
              <a:gd name="T26" fmla="*/ 4 w 348"/>
              <a:gd name="T27" fmla="*/ 245 h 427"/>
              <a:gd name="T28" fmla="*/ 0 w 348"/>
              <a:gd name="T29" fmla="*/ 263 h 427"/>
              <a:gd name="T30" fmla="*/ 0 w 348"/>
              <a:gd name="T31" fmla="*/ 285 h 427"/>
              <a:gd name="T32" fmla="*/ 0 w 348"/>
              <a:gd name="T33" fmla="*/ 285 h 427"/>
              <a:gd name="T34" fmla="*/ 0 w 348"/>
              <a:gd name="T35" fmla="*/ 302 h 427"/>
              <a:gd name="T36" fmla="*/ 2 w 348"/>
              <a:gd name="T37" fmla="*/ 317 h 427"/>
              <a:gd name="T38" fmla="*/ 5 w 348"/>
              <a:gd name="T39" fmla="*/ 331 h 427"/>
              <a:gd name="T40" fmla="*/ 11 w 348"/>
              <a:gd name="T41" fmla="*/ 344 h 427"/>
              <a:gd name="T42" fmla="*/ 17 w 348"/>
              <a:gd name="T43" fmla="*/ 357 h 427"/>
              <a:gd name="T44" fmla="*/ 24 w 348"/>
              <a:gd name="T45" fmla="*/ 370 h 427"/>
              <a:gd name="T46" fmla="*/ 31 w 348"/>
              <a:gd name="T47" fmla="*/ 379 h 427"/>
              <a:gd name="T48" fmla="*/ 40 w 348"/>
              <a:gd name="T49" fmla="*/ 390 h 427"/>
              <a:gd name="T50" fmla="*/ 51 w 348"/>
              <a:gd name="T51" fmla="*/ 398 h 427"/>
              <a:gd name="T52" fmla="*/ 64 w 348"/>
              <a:gd name="T53" fmla="*/ 405 h 427"/>
              <a:gd name="T54" fmla="*/ 77 w 348"/>
              <a:gd name="T55" fmla="*/ 412 h 427"/>
              <a:gd name="T56" fmla="*/ 92 w 348"/>
              <a:gd name="T57" fmla="*/ 416 h 427"/>
              <a:gd name="T58" fmla="*/ 107 w 348"/>
              <a:gd name="T59" fmla="*/ 422 h 427"/>
              <a:gd name="T60" fmla="*/ 123 w 348"/>
              <a:gd name="T61" fmla="*/ 423 h 427"/>
              <a:gd name="T62" fmla="*/ 140 w 348"/>
              <a:gd name="T63" fmla="*/ 425 h 427"/>
              <a:gd name="T64" fmla="*/ 158 w 348"/>
              <a:gd name="T65" fmla="*/ 427 h 427"/>
              <a:gd name="T66" fmla="*/ 158 w 348"/>
              <a:gd name="T67" fmla="*/ 427 h 427"/>
              <a:gd name="T68" fmla="*/ 182 w 348"/>
              <a:gd name="T69" fmla="*/ 425 h 427"/>
              <a:gd name="T70" fmla="*/ 204 w 348"/>
              <a:gd name="T71" fmla="*/ 422 h 427"/>
              <a:gd name="T72" fmla="*/ 225 w 348"/>
              <a:gd name="T73" fmla="*/ 414 h 427"/>
              <a:gd name="T74" fmla="*/ 243 w 348"/>
              <a:gd name="T75" fmla="*/ 407 h 427"/>
              <a:gd name="T76" fmla="*/ 260 w 348"/>
              <a:gd name="T77" fmla="*/ 396 h 427"/>
              <a:gd name="T78" fmla="*/ 276 w 348"/>
              <a:gd name="T79" fmla="*/ 385 h 427"/>
              <a:gd name="T80" fmla="*/ 289 w 348"/>
              <a:gd name="T81" fmla="*/ 370 h 427"/>
              <a:gd name="T82" fmla="*/ 302 w 348"/>
              <a:gd name="T83" fmla="*/ 355 h 427"/>
              <a:gd name="T84" fmla="*/ 313 w 348"/>
              <a:gd name="T85" fmla="*/ 339 h 427"/>
              <a:gd name="T86" fmla="*/ 322 w 348"/>
              <a:gd name="T87" fmla="*/ 320 h 427"/>
              <a:gd name="T88" fmla="*/ 329 w 348"/>
              <a:gd name="T89" fmla="*/ 302 h 427"/>
              <a:gd name="T90" fmla="*/ 337 w 348"/>
              <a:gd name="T91" fmla="*/ 282 h 427"/>
              <a:gd name="T92" fmla="*/ 341 w 348"/>
              <a:gd name="T93" fmla="*/ 261 h 427"/>
              <a:gd name="T94" fmla="*/ 344 w 348"/>
              <a:gd name="T95" fmla="*/ 241 h 427"/>
              <a:gd name="T96" fmla="*/ 346 w 348"/>
              <a:gd name="T97" fmla="*/ 219 h 427"/>
              <a:gd name="T98" fmla="*/ 348 w 348"/>
              <a:gd name="T99" fmla="*/ 199 h 427"/>
              <a:gd name="T100" fmla="*/ 348 w 348"/>
              <a:gd name="T101" fmla="*/ 0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348" h="427">
                <a:moveTo>
                  <a:pt x="348" y="0"/>
                </a:moveTo>
                <a:lnTo>
                  <a:pt x="245" y="50"/>
                </a:lnTo>
                <a:lnTo>
                  <a:pt x="245" y="50"/>
                </a:lnTo>
                <a:lnTo>
                  <a:pt x="188" y="77"/>
                </a:lnTo>
                <a:lnTo>
                  <a:pt x="138" y="103"/>
                </a:lnTo>
                <a:lnTo>
                  <a:pt x="96" y="129"/>
                </a:lnTo>
                <a:lnTo>
                  <a:pt x="77" y="140"/>
                </a:lnTo>
                <a:lnTo>
                  <a:pt x="61" y="153"/>
                </a:lnTo>
                <a:lnTo>
                  <a:pt x="46" y="166"/>
                </a:lnTo>
                <a:lnTo>
                  <a:pt x="35" y="180"/>
                </a:lnTo>
                <a:lnTo>
                  <a:pt x="24" y="195"/>
                </a:lnTo>
                <a:lnTo>
                  <a:pt x="15" y="210"/>
                </a:lnTo>
                <a:lnTo>
                  <a:pt x="7" y="226"/>
                </a:lnTo>
                <a:lnTo>
                  <a:pt x="4" y="245"/>
                </a:lnTo>
                <a:lnTo>
                  <a:pt x="0" y="263"/>
                </a:lnTo>
                <a:lnTo>
                  <a:pt x="0" y="285"/>
                </a:lnTo>
                <a:lnTo>
                  <a:pt x="0" y="285"/>
                </a:lnTo>
                <a:lnTo>
                  <a:pt x="0" y="302"/>
                </a:lnTo>
                <a:lnTo>
                  <a:pt x="2" y="317"/>
                </a:lnTo>
                <a:lnTo>
                  <a:pt x="5" y="331"/>
                </a:lnTo>
                <a:lnTo>
                  <a:pt x="11" y="344"/>
                </a:lnTo>
                <a:lnTo>
                  <a:pt x="17" y="357"/>
                </a:lnTo>
                <a:lnTo>
                  <a:pt x="24" y="370"/>
                </a:lnTo>
                <a:lnTo>
                  <a:pt x="31" y="379"/>
                </a:lnTo>
                <a:lnTo>
                  <a:pt x="40" y="390"/>
                </a:lnTo>
                <a:lnTo>
                  <a:pt x="51" y="398"/>
                </a:lnTo>
                <a:lnTo>
                  <a:pt x="64" y="405"/>
                </a:lnTo>
                <a:lnTo>
                  <a:pt x="77" y="412"/>
                </a:lnTo>
                <a:lnTo>
                  <a:pt x="92" y="416"/>
                </a:lnTo>
                <a:lnTo>
                  <a:pt x="107" y="422"/>
                </a:lnTo>
                <a:lnTo>
                  <a:pt x="123" y="423"/>
                </a:lnTo>
                <a:lnTo>
                  <a:pt x="140" y="425"/>
                </a:lnTo>
                <a:lnTo>
                  <a:pt x="158" y="427"/>
                </a:lnTo>
                <a:lnTo>
                  <a:pt x="158" y="427"/>
                </a:lnTo>
                <a:lnTo>
                  <a:pt x="182" y="425"/>
                </a:lnTo>
                <a:lnTo>
                  <a:pt x="204" y="422"/>
                </a:lnTo>
                <a:lnTo>
                  <a:pt x="225" y="414"/>
                </a:lnTo>
                <a:lnTo>
                  <a:pt x="243" y="407"/>
                </a:lnTo>
                <a:lnTo>
                  <a:pt x="260" y="396"/>
                </a:lnTo>
                <a:lnTo>
                  <a:pt x="276" y="385"/>
                </a:lnTo>
                <a:lnTo>
                  <a:pt x="289" y="370"/>
                </a:lnTo>
                <a:lnTo>
                  <a:pt x="302" y="355"/>
                </a:lnTo>
                <a:lnTo>
                  <a:pt x="313" y="339"/>
                </a:lnTo>
                <a:lnTo>
                  <a:pt x="322" y="320"/>
                </a:lnTo>
                <a:lnTo>
                  <a:pt x="329" y="302"/>
                </a:lnTo>
                <a:lnTo>
                  <a:pt x="337" y="282"/>
                </a:lnTo>
                <a:lnTo>
                  <a:pt x="341" y="261"/>
                </a:lnTo>
                <a:lnTo>
                  <a:pt x="344" y="241"/>
                </a:lnTo>
                <a:lnTo>
                  <a:pt x="346" y="219"/>
                </a:lnTo>
                <a:lnTo>
                  <a:pt x="348" y="199"/>
                </a:lnTo>
                <a:lnTo>
                  <a:pt x="348" y="0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/>
          </xdr:cNvSpPr>
        </xdr:nvSpPr>
        <xdr:spPr bwMode="blackGray">
          <a:xfrm>
            <a:off x="8350581" y="408750"/>
            <a:ext cx="103821" cy="137369"/>
          </a:xfrm>
          <a:custGeom>
            <a:avLst/>
            <a:gdLst>
              <a:gd name="T0" fmla="*/ 434 w 797"/>
              <a:gd name="T1" fmla="*/ 1059 h 1059"/>
              <a:gd name="T2" fmla="*/ 362 w 797"/>
              <a:gd name="T3" fmla="*/ 1049 h 1059"/>
              <a:gd name="T4" fmla="*/ 294 w 797"/>
              <a:gd name="T5" fmla="*/ 1031 h 1059"/>
              <a:gd name="T6" fmla="*/ 234 w 797"/>
              <a:gd name="T7" fmla="*/ 1001 h 1059"/>
              <a:gd name="T8" fmla="*/ 176 w 797"/>
              <a:gd name="T9" fmla="*/ 965 h 1059"/>
              <a:gd name="T10" fmla="*/ 129 w 797"/>
              <a:gd name="T11" fmla="*/ 919 h 1059"/>
              <a:gd name="T12" fmla="*/ 86 w 797"/>
              <a:gd name="T13" fmla="*/ 867 h 1059"/>
              <a:gd name="T14" fmla="*/ 53 w 797"/>
              <a:gd name="T15" fmla="*/ 806 h 1059"/>
              <a:gd name="T16" fmla="*/ 26 w 797"/>
              <a:gd name="T17" fmla="*/ 740 h 1059"/>
              <a:gd name="T18" fmla="*/ 9 w 797"/>
              <a:gd name="T19" fmla="*/ 666 h 1059"/>
              <a:gd name="T20" fmla="*/ 2 w 797"/>
              <a:gd name="T21" fmla="*/ 589 h 1059"/>
              <a:gd name="T22" fmla="*/ 2 w 797"/>
              <a:gd name="T23" fmla="*/ 530 h 1059"/>
              <a:gd name="T24" fmla="*/ 11 w 797"/>
              <a:gd name="T25" fmla="*/ 442 h 1059"/>
              <a:gd name="T26" fmla="*/ 31 w 797"/>
              <a:gd name="T27" fmla="*/ 359 h 1059"/>
              <a:gd name="T28" fmla="*/ 62 w 797"/>
              <a:gd name="T29" fmla="*/ 283 h 1059"/>
              <a:gd name="T30" fmla="*/ 103 w 797"/>
              <a:gd name="T31" fmla="*/ 215 h 1059"/>
              <a:gd name="T32" fmla="*/ 154 w 797"/>
              <a:gd name="T33" fmla="*/ 156 h 1059"/>
              <a:gd name="T34" fmla="*/ 213 w 797"/>
              <a:gd name="T35" fmla="*/ 105 h 1059"/>
              <a:gd name="T36" fmla="*/ 280 w 797"/>
              <a:gd name="T37" fmla="*/ 62 h 1059"/>
              <a:gd name="T38" fmla="*/ 353 w 797"/>
              <a:gd name="T39" fmla="*/ 31 h 1059"/>
              <a:gd name="T40" fmla="*/ 434 w 797"/>
              <a:gd name="T41" fmla="*/ 9 h 1059"/>
              <a:gd name="T42" fmla="*/ 521 w 797"/>
              <a:gd name="T43" fmla="*/ 0 h 1059"/>
              <a:gd name="T44" fmla="*/ 605 w 797"/>
              <a:gd name="T45" fmla="*/ 2 h 1059"/>
              <a:gd name="T46" fmla="*/ 712 w 797"/>
              <a:gd name="T47" fmla="*/ 14 h 1059"/>
              <a:gd name="T48" fmla="*/ 760 w 797"/>
              <a:gd name="T49" fmla="*/ 31 h 1059"/>
              <a:gd name="T50" fmla="*/ 767 w 797"/>
              <a:gd name="T51" fmla="*/ 235 h 1059"/>
              <a:gd name="T52" fmla="*/ 734 w 797"/>
              <a:gd name="T53" fmla="*/ 228 h 1059"/>
              <a:gd name="T54" fmla="*/ 690 w 797"/>
              <a:gd name="T55" fmla="*/ 165 h 1059"/>
              <a:gd name="T56" fmla="*/ 655 w 797"/>
              <a:gd name="T57" fmla="*/ 134 h 1059"/>
              <a:gd name="T58" fmla="*/ 616 w 797"/>
              <a:gd name="T59" fmla="*/ 114 h 1059"/>
              <a:gd name="T60" fmla="*/ 556 w 797"/>
              <a:gd name="T61" fmla="*/ 103 h 1059"/>
              <a:gd name="T62" fmla="*/ 502 w 797"/>
              <a:gd name="T63" fmla="*/ 103 h 1059"/>
              <a:gd name="T64" fmla="*/ 451 w 797"/>
              <a:gd name="T65" fmla="*/ 112 h 1059"/>
              <a:gd name="T66" fmla="*/ 403 w 797"/>
              <a:gd name="T67" fmla="*/ 130 h 1059"/>
              <a:gd name="T68" fmla="*/ 338 w 797"/>
              <a:gd name="T69" fmla="*/ 180 h 1059"/>
              <a:gd name="T70" fmla="*/ 280 w 797"/>
              <a:gd name="T71" fmla="*/ 267 h 1059"/>
              <a:gd name="T72" fmla="*/ 243 w 797"/>
              <a:gd name="T73" fmla="*/ 372 h 1059"/>
              <a:gd name="T74" fmla="*/ 226 w 797"/>
              <a:gd name="T75" fmla="*/ 488 h 1059"/>
              <a:gd name="T76" fmla="*/ 226 w 797"/>
              <a:gd name="T77" fmla="*/ 560 h 1059"/>
              <a:gd name="T78" fmla="*/ 239 w 797"/>
              <a:gd name="T79" fmla="*/ 661 h 1059"/>
              <a:gd name="T80" fmla="*/ 270 w 797"/>
              <a:gd name="T81" fmla="*/ 757 h 1059"/>
              <a:gd name="T82" fmla="*/ 327 w 797"/>
              <a:gd name="T83" fmla="*/ 838 h 1059"/>
              <a:gd name="T84" fmla="*/ 366 w 797"/>
              <a:gd name="T85" fmla="*/ 869 h 1059"/>
              <a:gd name="T86" fmla="*/ 416 w 797"/>
              <a:gd name="T87" fmla="*/ 891 h 1059"/>
              <a:gd name="T88" fmla="*/ 473 w 797"/>
              <a:gd name="T89" fmla="*/ 908 h 1059"/>
              <a:gd name="T90" fmla="*/ 541 w 797"/>
              <a:gd name="T91" fmla="*/ 913 h 1059"/>
              <a:gd name="T92" fmla="*/ 607 w 797"/>
              <a:gd name="T93" fmla="*/ 906 h 1059"/>
              <a:gd name="T94" fmla="*/ 701 w 797"/>
              <a:gd name="T95" fmla="*/ 873 h 1059"/>
              <a:gd name="T96" fmla="*/ 775 w 797"/>
              <a:gd name="T97" fmla="*/ 819 h 1059"/>
              <a:gd name="T98" fmla="*/ 797 w 797"/>
              <a:gd name="T99" fmla="*/ 862 h 1059"/>
              <a:gd name="T100" fmla="*/ 780 w 797"/>
              <a:gd name="T101" fmla="*/ 928 h 1059"/>
              <a:gd name="T102" fmla="*/ 732 w 797"/>
              <a:gd name="T103" fmla="*/ 979 h 1059"/>
              <a:gd name="T104" fmla="*/ 664 w 797"/>
              <a:gd name="T105" fmla="*/ 1020 h 1059"/>
              <a:gd name="T106" fmla="*/ 581 w 797"/>
              <a:gd name="T107" fmla="*/ 1046 h 1059"/>
              <a:gd name="T108" fmla="*/ 489 w 797"/>
              <a:gd name="T109" fmla="*/ 1057 h 10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797" h="1059">
                <a:moveTo>
                  <a:pt x="458" y="1059"/>
                </a:moveTo>
                <a:lnTo>
                  <a:pt x="458" y="1059"/>
                </a:lnTo>
                <a:lnTo>
                  <a:pt x="434" y="1059"/>
                </a:lnTo>
                <a:lnTo>
                  <a:pt x="408" y="1057"/>
                </a:lnTo>
                <a:lnTo>
                  <a:pt x="384" y="1053"/>
                </a:lnTo>
                <a:lnTo>
                  <a:pt x="362" y="1049"/>
                </a:lnTo>
                <a:lnTo>
                  <a:pt x="338" y="1044"/>
                </a:lnTo>
                <a:lnTo>
                  <a:pt x="316" y="1038"/>
                </a:lnTo>
                <a:lnTo>
                  <a:pt x="294" y="1031"/>
                </a:lnTo>
                <a:lnTo>
                  <a:pt x="274" y="1022"/>
                </a:lnTo>
                <a:lnTo>
                  <a:pt x="252" y="1013"/>
                </a:lnTo>
                <a:lnTo>
                  <a:pt x="234" y="1001"/>
                </a:lnTo>
                <a:lnTo>
                  <a:pt x="213" y="990"/>
                </a:lnTo>
                <a:lnTo>
                  <a:pt x="195" y="978"/>
                </a:lnTo>
                <a:lnTo>
                  <a:pt x="176" y="965"/>
                </a:lnTo>
                <a:lnTo>
                  <a:pt x="160" y="950"/>
                </a:lnTo>
                <a:lnTo>
                  <a:pt x="143" y="935"/>
                </a:lnTo>
                <a:lnTo>
                  <a:pt x="129" y="919"/>
                </a:lnTo>
                <a:lnTo>
                  <a:pt x="114" y="902"/>
                </a:lnTo>
                <a:lnTo>
                  <a:pt x="99" y="885"/>
                </a:lnTo>
                <a:lnTo>
                  <a:pt x="86" y="867"/>
                </a:lnTo>
                <a:lnTo>
                  <a:pt x="73" y="847"/>
                </a:lnTo>
                <a:lnTo>
                  <a:pt x="62" y="827"/>
                </a:lnTo>
                <a:lnTo>
                  <a:pt x="53" y="806"/>
                </a:lnTo>
                <a:lnTo>
                  <a:pt x="42" y="784"/>
                </a:lnTo>
                <a:lnTo>
                  <a:pt x="35" y="762"/>
                </a:lnTo>
                <a:lnTo>
                  <a:pt x="26" y="740"/>
                </a:lnTo>
                <a:lnTo>
                  <a:pt x="20" y="716"/>
                </a:lnTo>
                <a:lnTo>
                  <a:pt x="14" y="692"/>
                </a:lnTo>
                <a:lnTo>
                  <a:pt x="9" y="666"/>
                </a:lnTo>
                <a:lnTo>
                  <a:pt x="5" y="641"/>
                </a:lnTo>
                <a:lnTo>
                  <a:pt x="2" y="615"/>
                </a:lnTo>
                <a:lnTo>
                  <a:pt x="2" y="589"/>
                </a:lnTo>
                <a:lnTo>
                  <a:pt x="0" y="561"/>
                </a:lnTo>
                <a:lnTo>
                  <a:pt x="0" y="561"/>
                </a:lnTo>
                <a:lnTo>
                  <a:pt x="2" y="530"/>
                </a:lnTo>
                <a:lnTo>
                  <a:pt x="3" y="501"/>
                </a:lnTo>
                <a:lnTo>
                  <a:pt x="5" y="471"/>
                </a:lnTo>
                <a:lnTo>
                  <a:pt x="11" y="442"/>
                </a:lnTo>
                <a:lnTo>
                  <a:pt x="16" y="414"/>
                </a:lnTo>
                <a:lnTo>
                  <a:pt x="24" y="386"/>
                </a:lnTo>
                <a:lnTo>
                  <a:pt x="31" y="359"/>
                </a:lnTo>
                <a:lnTo>
                  <a:pt x="40" y="333"/>
                </a:lnTo>
                <a:lnTo>
                  <a:pt x="51" y="309"/>
                </a:lnTo>
                <a:lnTo>
                  <a:pt x="62" y="283"/>
                </a:lnTo>
                <a:lnTo>
                  <a:pt x="75" y="261"/>
                </a:lnTo>
                <a:lnTo>
                  <a:pt x="88" y="237"/>
                </a:lnTo>
                <a:lnTo>
                  <a:pt x="103" y="215"/>
                </a:lnTo>
                <a:lnTo>
                  <a:pt x="119" y="195"/>
                </a:lnTo>
                <a:lnTo>
                  <a:pt x="136" y="175"/>
                </a:lnTo>
                <a:lnTo>
                  <a:pt x="154" y="156"/>
                </a:lnTo>
                <a:lnTo>
                  <a:pt x="173" y="138"/>
                </a:lnTo>
                <a:lnTo>
                  <a:pt x="191" y="121"/>
                </a:lnTo>
                <a:lnTo>
                  <a:pt x="213" y="105"/>
                </a:lnTo>
                <a:lnTo>
                  <a:pt x="234" y="90"/>
                </a:lnTo>
                <a:lnTo>
                  <a:pt x="256" y="75"/>
                </a:lnTo>
                <a:lnTo>
                  <a:pt x="280" y="62"/>
                </a:lnTo>
                <a:lnTo>
                  <a:pt x="304" y="51"/>
                </a:lnTo>
                <a:lnTo>
                  <a:pt x="327" y="40"/>
                </a:lnTo>
                <a:lnTo>
                  <a:pt x="353" y="31"/>
                </a:lnTo>
                <a:lnTo>
                  <a:pt x="379" y="22"/>
                </a:lnTo>
                <a:lnTo>
                  <a:pt x="407" y="14"/>
                </a:lnTo>
                <a:lnTo>
                  <a:pt x="434" y="9"/>
                </a:lnTo>
                <a:lnTo>
                  <a:pt x="462" y="5"/>
                </a:lnTo>
                <a:lnTo>
                  <a:pt x="491" y="2"/>
                </a:lnTo>
                <a:lnTo>
                  <a:pt x="521" y="0"/>
                </a:lnTo>
                <a:lnTo>
                  <a:pt x="550" y="0"/>
                </a:lnTo>
                <a:lnTo>
                  <a:pt x="550" y="0"/>
                </a:lnTo>
                <a:lnTo>
                  <a:pt x="605" y="2"/>
                </a:lnTo>
                <a:lnTo>
                  <a:pt x="640" y="3"/>
                </a:lnTo>
                <a:lnTo>
                  <a:pt x="677" y="9"/>
                </a:lnTo>
                <a:lnTo>
                  <a:pt x="712" y="14"/>
                </a:lnTo>
                <a:lnTo>
                  <a:pt x="742" y="22"/>
                </a:lnTo>
                <a:lnTo>
                  <a:pt x="753" y="25"/>
                </a:lnTo>
                <a:lnTo>
                  <a:pt x="760" y="31"/>
                </a:lnTo>
                <a:lnTo>
                  <a:pt x="766" y="36"/>
                </a:lnTo>
                <a:lnTo>
                  <a:pt x="767" y="42"/>
                </a:lnTo>
                <a:lnTo>
                  <a:pt x="767" y="235"/>
                </a:lnTo>
                <a:lnTo>
                  <a:pt x="736" y="235"/>
                </a:lnTo>
                <a:lnTo>
                  <a:pt x="734" y="228"/>
                </a:lnTo>
                <a:lnTo>
                  <a:pt x="734" y="228"/>
                </a:lnTo>
                <a:lnTo>
                  <a:pt x="712" y="193"/>
                </a:lnTo>
                <a:lnTo>
                  <a:pt x="701" y="178"/>
                </a:lnTo>
                <a:lnTo>
                  <a:pt x="690" y="165"/>
                </a:lnTo>
                <a:lnTo>
                  <a:pt x="679" y="153"/>
                </a:lnTo>
                <a:lnTo>
                  <a:pt x="668" y="143"/>
                </a:lnTo>
                <a:lnTo>
                  <a:pt x="655" y="134"/>
                </a:lnTo>
                <a:lnTo>
                  <a:pt x="644" y="127"/>
                </a:lnTo>
                <a:lnTo>
                  <a:pt x="631" y="119"/>
                </a:lnTo>
                <a:lnTo>
                  <a:pt x="616" y="114"/>
                </a:lnTo>
                <a:lnTo>
                  <a:pt x="604" y="110"/>
                </a:lnTo>
                <a:lnTo>
                  <a:pt x="589" y="106"/>
                </a:lnTo>
                <a:lnTo>
                  <a:pt x="556" y="103"/>
                </a:lnTo>
                <a:lnTo>
                  <a:pt x="521" y="101"/>
                </a:lnTo>
                <a:lnTo>
                  <a:pt x="521" y="101"/>
                </a:lnTo>
                <a:lnTo>
                  <a:pt x="502" y="103"/>
                </a:lnTo>
                <a:lnTo>
                  <a:pt x="484" y="105"/>
                </a:lnTo>
                <a:lnTo>
                  <a:pt x="467" y="106"/>
                </a:lnTo>
                <a:lnTo>
                  <a:pt x="451" y="112"/>
                </a:lnTo>
                <a:lnTo>
                  <a:pt x="434" y="116"/>
                </a:lnTo>
                <a:lnTo>
                  <a:pt x="418" y="123"/>
                </a:lnTo>
                <a:lnTo>
                  <a:pt x="403" y="130"/>
                </a:lnTo>
                <a:lnTo>
                  <a:pt x="388" y="138"/>
                </a:lnTo>
                <a:lnTo>
                  <a:pt x="362" y="158"/>
                </a:lnTo>
                <a:lnTo>
                  <a:pt x="338" y="180"/>
                </a:lnTo>
                <a:lnTo>
                  <a:pt x="316" y="206"/>
                </a:lnTo>
                <a:lnTo>
                  <a:pt x="296" y="235"/>
                </a:lnTo>
                <a:lnTo>
                  <a:pt x="280" y="267"/>
                </a:lnTo>
                <a:lnTo>
                  <a:pt x="265" y="300"/>
                </a:lnTo>
                <a:lnTo>
                  <a:pt x="254" y="335"/>
                </a:lnTo>
                <a:lnTo>
                  <a:pt x="243" y="372"/>
                </a:lnTo>
                <a:lnTo>
                  <a:pt x="235" y="408"/>
                </a:lnTo>
                <a:lnTo>
                  <a:pt x="230" y="447"/>
                </a:lnTo>
                <a:lnTo>
                  <a:pt x="226" y="488"/>
                </a:lnTo>
                <a:lnTo>
                  <a:pt x="226" y="526"/>
                </a:lnTo>
                <a:lnTo>
                  <a:pt x="226" y="526"/>
                </a:lnTo>
                <a:lnTo>
                  <a:pt x="226" y="560"/>
                </a:lnTo>
                <a:lnTo>
                  <a:pt x="228" y="594"/>
                </a:lnTo>
                <a:lnTo>
                  <a:pt x="232" y="628"/>
                </a:lnTo>
                <a:lnTo>
                  <a:pt x="239" y="661"/>
                </a:lnTo>
                <a:lnTo>
                  <a:pt x="246" y="694"/>
                </a:lnTo>
                <a:lnTo>
                  <a:pt x="257" y="725"/>
                </a:lnTo>
                <a:lnTo>
                  <a:pt x="270" y="757"/>
                </a:lnTo>
                <a:lnTo>
                  <a:pt x="285" y="786"/>
                </a:lnTo>
                <a:lnTo>
                  <a:pt x="305" y="812"/>
                </a:lnTo>
                <a:lnTo>
                  <a:pt x="327" y="838"/>
                </a:lnTo>
                <a:lnTo>
                  <a:pt x="338" y="849"/>
                </a:lnTo>
                <a:lnTo>
                  <a:pt x="353" y="858"/>
                </a:lnTo>
                <a:lnTo>
                  <a:pt x="366" y="869"/>
                </a:lnTo>
                <a:lnTo>
                  <a:pt x="383" y="876"/>
                </a:lnTo>
                <a:lnTo>
                  <a:pt x="397" y="885"/>
                </a:lnTo>
                <a:lnTo>
                  <a:pt x="416" y="891"/>
                </a:lnTo>
                <a:lnTo>
                  <a:pt x="434" y="898"/>
                </a:lnTo>
                <a:lnTo>
                  <a:pt x="453" y="904"/>
                </a:lnTo>
                <a:lnTo>
                  <a:pt x="473" y="908"/>
                </a:lnTo>
                <a:lnTo>
                  <a:pt x="495" y="909"/>
                </a:lnTo>
                <a:lnTo>
                  <a:pt x="517" y="911"/>
                </a:lnTo>
                <a:lnTo>
                  <a:pt x="541" y="913"/>
                </a:lnTo>
                <a:lnTo>
                  <a:pt x="541" y="913"/>
                </a:lnTo>
                <a:lnTo>
                  <a:pt x="574" y="911"/>
                </a:lnTo>
                <a:lnTo>
                  <a:pt x="607" y="906"/>
                </a:lnTo>
                <a:lnTo>
                  <a:pt x="640" y="898"/>
                </a:lnTo>
                <a:lnTo>
                  <a:pt x="672" y="887"/>
                </a:lnTo>
                <a:lnTo>
                  <a:pt x="701" y="873"/>
                </a:lnTo>
                <a:lnTo>
                  <a:pt x="729" y="858"/>
                </a:lnTo>
                <a:lnTo>
                  <a:pt x="753" y="839"/>
                </a:lnTo>
                <a:lnTo>
                  <a:pt x="775" y="819"/>
                </a:lnTo>
                <a:lnTo>
                  <a:pt x="797" y="797"/>
                </a:lnTo>
                <a:lnTo>
                  <a:pt x="797" y="862"/>
                </a:lnTo>
                <a:lnTo>
                  <a:pt x="797" y="862"/>
                </a:lnTo>
                <a:lnTo>
                  <a:pt x="795" y="885"/>
                </a:lnTo>
                <a:lnTo>
                  <a:pt x="789" y="908"/>
                </a:lnTo>
                <a:lnTo>
                  <a:pt x="780" y="928"/>
                </a:lnTo>
                <a:lnTo>
                  <a:pt x="767" y="946"/>
                </a:lnTo>
                <a:lnTo>
                  <a:pt x="751" y="965"/>
                </a:lnTo>
                <a:lnTo>
                  <a:pt x="732" y="979"/>
                </a:lnTo>
                <a:lnTo>
                  <a:pt x="712" y="994"/>
                </a:lnTo>
                <a:lnTo>
                  <a:pt x="690" y="1009"/>
                </a:lnTo>
                <a:lnTo>
                  <a:pt x="664" y="1020"/>
                </a:lnTo>
                <a:lnTo>
                  <a:pt x="639" y="1029"/>
                </a:lnTo>
                <a:lnTo>
                  <a:pt x="609" y="1038"/>
                </a:lnTo>
                <a:lnTo>
                  <a:pt x="581" y="1046"/>
                </a:lnTo>
                <a:lnTo>
                  <a:pt x="550" y="1051"/>
                </a:lnTo>
                <a:lnTo>
                  <a:pt x="521" y="1055"/>
                </a:lnTo>
                <a:lnTo>
                  <a:pt x="489" y="1057"/>
                </a:lnTo>
                <a:lnTo>
                  <a:pt x="458" y="1059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/>
          </xdr:cNvSpPr>
        </xdr:nvSpPr>
        <xdr:spPr bwMode="blackGray">
          <a:xfrm>
            <a:off x="8350581" y="408750"/>
            <a:ext cx="103821" cy="137369"/>
          </a:xfrm>
          <a:custGeom>
            <a:avLst/>
            <a:gdLst>
              <a:gd name="T0" fmla="*/ 434 w 797"/>
              <a:gd name="T1" fmla="*/ 1059 h 1059"/>
              <a:gd name="T2" fmla="*/ 362 w 797"/>
              <a:gd name="T3" fmla="*/ 1049 h 1059"/>
              <a:gd name="T4" fmla="*/ 294 w 797"/>
              <a:gd name="T5" fmla="*/ 1031 h 1059"/>
              <a:gd name="T6" fmla="*/ 234 w 797"/>
              <a:gd name="T7" fmla="*/ 1001 h 1059"/>
              <a:gd name="T8" fmla="*/ 176 w 797"/>
              <a:gd name="T9" fmla="*/ 965 h 1059"/>
              <a:gd name="T10" fmla="*/ 129 w 797"/>
              <a:gd name="T11" fmla="*/ 919 h 1059"/>
              <a:gd name="T12" fmla="*/ 86 w 797"/>
              <a:gd name="T13" fmla="*/ 867 h 1059"/>
              <a:gd name="T14" fmla="*/ 53 w 797"/>
              <a:gd name="T15" fmla="*/ 806 h 1059"/>
              <a:gd name="T16" fmla="*/ 26 w 797"/>
              <a:gd name="T17" fmla="*/ 740 h 1059"/>
              <a:gd name="T18" fmla="*/ 9 w 797"/>
              <a:gd name="T19" fmla="*/ 666 h 1059"/>
              <a:gd name="T20" fmla="*/ 2 w 797"/>
              <a:gd name="T21" fmla="*/ 589 h 1059"/>
              <a:gd name="T22" fmla="*/ 2 w 797"/>
              <a:gd name="T23" fmla="*/ 530 h 1059"/>
              <a:gd name="T24" fmla="*/ 11 w 797"/>
              <a:gd name="T25" fmla="*/ 442 h 1059"/>
              <a:gd name="T26" fmla="*/ 31 w 797"/>
              <a:gd name="T27" fmla="*/ 359 h 1059"/>
              <a:gd name="T28" fmla="*/ 62 w 797"/>
              <a:gd name="T29" fmla="*/ 283 h 1059"/>
              <a:gd name="T30" fmla="*/ 103 w 797"/>
              <a:gd name="T31" fmla="*/ 215 h 1059"/>
              <a:gd name="T32" fmla="*/ 154 w 797"/>
              <a:gd name="T33" fmla="*/ 156 h 1059"/>
              <a:gd name="T34" fmla="*/ 213 w 797"/>
              <a:gd name="T35" fmla="*/ 105 h 1059"/>
              <a:gd name="T36" fmla="*/ 280 w 797"/>
              <a:gd name="T37" fmla="*/ 62 h 1059"/>
              <a:gd name="T38" fmla="*/ 353 w 797"/>
              <a:gd name="T39" fmla="*/ 31 h 1059"/>
              <a:gd name="T40" fmla="*/ 434 w 797"/>
              <a:gd name="T41" fmla="*/ 9 h 1059"/>
              <a:gd name="T42" fmla="*/ 521 w 797"/>
              <a:gd name="T43" fmla="*/ 0 h 1059"/>
              <a:gd name="T44" fmla="*/ 605 w 797"/>
              <a:gd name="T45" fmla="*/ 2 h 1059"/>
              <a:gd name="T46" fmla="*/ 712 w 797"/>
              <a:gd name="T47" fmla="*/ 14 h 1059"/>
              <a:gd name="T48" fmla="*/ 760 w 797"/>
              <a:gd name="T49" fmla="*/ 31 h 1059"/>
              <a:gd name="T50" fmla="*/ 767 w 797"/>
              <a:gd name="T51" fmla="*/ 235 h 1059"/>
              <a:gd name="T52" fmla="*/ 734 w 797"/>
              <a:gd name="T53" fmla="*/ 228 h 1059"/>
              <a:gd name="T54" fmla="*/ 690 w 797"/>
              <a:gd name="T55" fmla="*/ 165 h 1059"/>
              <a:gd name="T56" fmla="*/ 655 w 797"/>
              <a:gd name="T57" fmla="*/ 134 h 1059"/>
              <a:gd name="T58" fmla="*/ 616 w 797"/>
              <a:gd name="T59" fmla="*/ 114 h 1059"/>
              <a:gd name="T60" fmla="*/ 556 w 797"/>
              <a:gd name="T61" fmla="*/ 103 h 1059"/>
              <a:gd name="T62" fmla="*/ 502 w 797"/>
              <a:gd name="T63" fmla="*/ 103 h 1059"/>
              <a:gd name="T64" fmla="*/ 451 w 797"/>
              <a:gd name="T65" fmla="*/ 112 h 1059"/>
              <a:gd name="T66" fmla="*/ 403 w 797"/>
              <a:gd name="T67" fmla="*/ 130 h 1059"/>
              <a:gd name="T68" fmla="*/ 338 w 797"/>
              <a:gd name="T69" fmla="*/ 180 h 1059"/>
              <a:gd name="T70" fmla="*/ 280 w 797"/>
              <a:gd name="T71" fmla="*/ 267 h 1059"/>
              <a:gd name="T72" fmla="*/ 243 w 797"/>
              <a:gd name="T73" fmla="*/ 372 h 1059"/>
              <a:gd name="T74" fmla="*/ 226 w 797"/>
              <a:gd name="T75" fmla="*/ 488 h 1059"/>
              <a:gd name="T76" fmla="*/ 226 w 797"/>
              <a:gd name="T77" fmla="*/ 560 h 1059"/>
              <a:gd name="T78" fmla="*/ 239 w 797"/>
              <a:gd name="T79" fmla="*/ 661 h 1059"/>
              <a:gd name="T80" fmla="*/ 270 w 797"/>
              <a:gd name="T81" fmla="*/ 757 h 1059"/>
              <a:gd name="T82" fmla="*/ 327 w 797"/>
              <a:gd name="T83" fmla="*/ 838 h 1059"/>
              <a:gd name="T84" fmla="*/ 366 w 797"/>
              <a:gd name="T85" fmla="*/ 869 h 1059"/>
              <a:gd name="T86" fmla="*/ 416 w 797"/>
              <a:gd name="T87" fmla="*/ 891 h 1059"/>
              <a:gd name="T88" fmla="*/ 473 w 797"/>
              <a:gd name="T89" fmla="*/ 908 h 1059"/>
              <a:gd name="T90" fmla="*/ 541 w 797"/>
              <a:gd name="T91" fmla="*/ 913 h 1059"/>
              <a:gd name="T92" fmla="*/ 607 w 797"/>
              <a:gd name="T93" fmla="*/ 906 h 1059"/>
              <a:gd name="T94" fmla="*/ 701 w 797"/>
              <a:gd name="T95" fmla="*/ 873 h 1059"/>
              <a:gd name="T96" fmla="*/ 775 w 797"/>
              <a:gd name="T97" fmla="*/ 819 h 1059"/>
              <a:gd name="T98" fmla="*/ 797 w 797"/>
              <a:gd name="T99" fmla="*/ 862 h 1059"/>
              <a:gd name="T100" fmla="*/ 780 w 797"/>
              <a:gd name="T101" fmla="*/ 928 h 1059"/>
              <a:gd name="T102" fmla="*/ 732 w 797"/>
              <a:gd name="T103" fmla="*/ 979 h 1059"/>
              <a:gd name="T104" fmla="*/ 664 w 797"/>
              <a:gd name="T105" fmla="*/ 1020 h 1059"/>
              <a:gd name="T106" fmla="*/ 581 w 797"/>
              <a:gd name="T107" fmla="*/ 1046 h 1059"/>
              <a:gd name="T108" fmla="*/ 489 w 797"/>
              <a:gd name="T109" fmla="*/ 1057 h 10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797" h="1059">
                <a:moveTo>
                  <a:pt x="458" y="1059"/>
                </a:moveTo>
                <a:lnTo>
                  <a:pt x="458" y="1059"/>
                </a:lnTo>
                <a:lnTo>
                  <a:pt x="434" y="1059"/>
                </a:lnTo>
                <a:lnTo>
                  <a:pt x="408" y="1057"/>
                </a:lnTo>
                <a:lnTo>
                  <a:pt x="384" y="1053"/>
                </a:lnTo>
                <a:lnTo>
                  <a:pt x="362" y="1049"/>
                </a:lnTo>
                <a:lnTo>
                  <a:pt x="338" y="1044"/>
                </a:lnTo>
                <a:lnTo>
                  <a:pt x="316" y="1038"/>
                </a:lnTo>
                <a:lnTo>
                  <a:pt x="294" y="1031"/>
                </a:lnTo>
                <a:lnTo>
                  <a:pt x="274" y="1022"/>
                </a:lnTo>
                <a:lnTo>
                  <a:pt x="252" y="1013"/>
                </a:lnTo>
                <a:lnTo>
                  <a:pt x="234" y="1001"/>
                </a:lnTo>
                <a:lnTo>
                  <a:pt x="213" y="990"/>
                </a:lnTo>
                <a:lnTo>
                  <a:pt x="195" y="978"/>
                </a:lnTo>
                <a:lnTo>
                  <a:pt x="176" y="965"/>
                </a:lnTo>
                <a:lnTo>
                  <a:pt x="160" y="950"/>
                </a:lnTo>
                <a:lnTo>
                  <a:pt x="143" y="935"/>
                </a:lnTo>
                <a:lnTo>
                  <a:pt x="129" y="919"/>
                </a:lnTo>
                <a:lnTo>
                  <a:pt x="114" y="902"/>
                </a:lnTo>
                <a:lnTo>
                  <a:pt x="99" y="885"/>
                </a:lnTo>
                <a:lnTo>
                  <a:pt x="86" y="867"/>
                </a:lnTo>
                <a:lnTo>
                  <a:pt x="73" y="847"/>
                </a:lnTo>
                <a:lnTo>
                  <a:pt x="62" y="827"/>
                </a:lnTo>
                <a:lnTo>
                  <a:pt x="53" y="806"/>
                </a:lnTo>
                <a:lnTo>
                  <a:pt x="42" y="784"/>
                </a:lnTo>
                <a:lnTo>
                  <a:pt x="35" y="762"/>
                </a:lnTo>
                <a:lnTo>
                  <a:pt x="26" y="740"/>
                </a:lnTo>
                <a:lnTo>
                  <a:pt x="20" y="716"/>
                </a:lnTo>
                <a:lnTo>
                  <a:pt x="14" y="692"/>
                </a:lnTo>
                <a:lnTo>
                  <a:pt x="9" y="666"/>
                </a:lnTo>
                <a:lnTo>
                  <a:pt x="5" y="641"/>
                </a:lnTo>
                <a:lnTo>
                  <a:pt x="2" y="615"/>
                </a:lnTo>
                <a:lnTo>
                  <a:pt x="2" y="589"/>
                </a:lnTo>
                <a:lnTo>
                  <a:pt x="0" y="561"/>
                </a:lnTo>
                <a:lnTo>
                  <a:pt x="0" y="561"/>
                </a:lnTo>
                <a:lnTo>
                  <a:pt x="2" y="530"/>
                </a:lnTo>
                <a:lnTo>
                  <a:pt x="3" y="501"/>
                </a:lnTo>
                <a:lnTo>
                  <a:pt x="5" y="471"/>
                </a:lnTo>
                <a:lnTo>
                  <a:pt x="11" y="442"/>
                </a:lnTo>
                <a:lnTo>
                  <a:pt x="16" y="414"/>
                </a:lnTo>
                <a:lnTo>
                  <a:pt x="24" y="386"/>
                </a:lnTo>
                <a:lnTo>
                  <a:pt x="31" y="359"/>
                </a:lnTo>
                <a:lnTo>
                  <a:pt x="40" y="333"/>
                </a:lnTo>
                <a:lnTo>
                  <a:pt x="51" y="309"/>
                </a:lnTo>
                <a:lnTo>
                  <a:pt x="62" y="283"/>
                </a:lnTo>
                <a:lnTo>
                  <a:pt x="75" y="261"/>
                </a:lnTo>
                <a:lnTo>
                  <a:pt x="88" y="237"/>
                </a:lnTo>
                <a:lnTo>
                  <a:pt x="103" y="215"/>
                </a:lnTo>
                <a:lnTo>
                  <a:pt x="119" y="195"/>
                </a:lnTo>
                <a:lnTo>
                  <a:pt x="136" y="175"/>
                </a:lnTo>
                <a:lnTo>
                  <a:pt x="154" y="156"/>
                </a:lnTo>
                <a:lnTo>
                  <a:pt x="173" y="138"/>
                </a:lnTo>
                <a:lnTo>
                  <a:pt x="191" y="121"/>
                </a:lnTo>
                <a:lnTo>
                  <a:pt x="213" y="105"/>
                </a:lnTo>
                <a:lnTo>
                  <a:pt x="234" y="90"/>
                </a:lnTo>
                <a:lnTo>
                  <a:pt x="256" y="75"/>
                </a:lnTo>
                <a:lnTo>
                  <a:pt x="280" y="62"/>
                </a:lnTo>
                <a:lnTo>
                  <a:pt x="304" y="51"/>
                </a:lnTo>
                <a:lnTo>
                  <a:pt x="327" y="40"/>
                </a:lnTo>
                <a:lnTo>
                  <a:pt x="353" y="31"/>
                </a:lnTo>
                <a:lnTo>
                  <a:pt x="379" y="22"/>
                </a:lnTo>
                <a:lnTo>
                  <a:pt x="407" y="14"/>
                </a:lnTo>
                <a:lnTo>
                  <a:pt x="434" y="9"/>
                </a:lnTo>
                <a:lnTo>
                  <a:pt x="462" y="5"/>
                </a:lnTo>
                <a:lnTo>
                  <a:pt x="491" y="2"/>
                </a:lnTo>
                <a:lnTo>
                  <a:pt x="521" y="0"/>
                </a:lnTo>
                <a:lnTo>
                  <a:pt x="550" y="0"/>
                </a:lnTo>
                <a:lnTo>
                  <a:pt x="550" y="0"/>
                </a:lnTo>
                <a:lnTo>
                  <a:pt x="605" y="2"/>
                </a:lnTo>
                <a:lnTo>
                  <a:pt x="640" y="3"/>
                </a:lnTo>
                <a:lnTo>
                  <a:pt x="677" y="9"/>
                </a:lnTo>
                <a:lnTo>
                  <a:pt x="712" y="14"/>
                </a:lnTo>
                <a:lnTo>
                  <a:pt x="742" y="22"/>
                </a:lnTo>
                <a:lnTo>
                  <a:pt x="753" y="25"/>
                </a:lnTo>
                <a:lnTo>
                  <a:pt x="760" y="31"/>
                </a:lnTo>
                <a:lnTo>
                  <a:pt x="766" y="36"/>
                </a:lnTo>
                <a:lnTo>
                  <a:pt x="767" y="42"/>
                </a:lnTo>
                <a:lnTo>
                  <a:pt x="767" y="235"/>
                </a:lnTo>
                <a:lnTo>
                  <a:pt x="736" y="235"/>
                </a:lnTo>
                <a:lnTo>
                  <a:pt x="734" y="228"/>
                </a:lnTo>
                <a:lnTo>
                  <a:pt x="734" y="228"/>
                </a:lnTo>
                <a:lnTo>
                  <a:pt x="712" y="193"/>
                </a:lnTo>
                <a:lnTo>
                  <a:pt x="701" y="178"/>
                </a:lnTo>
                <a:lnTo>
                  <a:pt x="690" y="165"/>
                </a:lnTo>
                <a:lnTo>
                  <a:pt x="679" y="153"/>
                </a:lnTo>
                <a:lnTo>
                  <a:pt x="668" y="143"/>
                </a:lnTo>
                <a:lnTo>
                  <a:pt x="655" y="134"/>
                </a:lnTo>
                <a:lnTo>
                  <a:pt x="644" y="127"/>
                </a:lnTo>
                <a:lnTo>
                  <a:pt x="631" y="119"/>
                </a:lnTo>
                <a:lnTo>
                  <a:pt x="616" y="114"/>
                </a:lnTo>
                <a:lnTo>
                  <a:pt x="604" y="110"/>
                </a:lnTo>
                <a:lnTo>
                  <a:pt x="589" y="106"/>
                </a:lnTo>
                <a:lnTo>
                  <a:pt x="556" y="103"/>
                </a:lnTo>
                <a:lnTo>
                  <a:pt x="521" y="101"/>
                </a:lnTo>
                <a:lnTo>
                  <a:pt x="521" y="101"/>
                </a:lnTo>
                <a:lnTo>
                  <a:pt x="502" y="103"/>
                </a:lnTo>
                <a:lnTo>
                  <a:pt x="484" y="105"/>
                </a:lnTo>
                <a:lnTo>
                  <a:pt x="467" y="106"/>
                </a:lnTo>
                <a:lnTo>
                  <a:pt x="451" y="112"/>
                </a:lnTo>
                <a:lnTo>
                  <a:pt x="434" y="116"/>
                </a:lnTo>
                <a:lnTo>
                  <a:pt x="418" y="123"/>
                </a:lnTo>
                <a:lnTo>
                  <a:pt x="403" y="130"/>
                </a:lnTo>
                <a:lnTo>
                  <a:pt x="388" y="138"/>
                </a:lnTo>
                <a:lnTo>
                  <a:pt x="362" y="158"/>
                </a:lnTo>
                <a:lnTo>
                  <a:pt x="338" y="180"/>
                </a:lnTo>
                <a:lnTo>
                  <a:pt x="316" y="206"/>
                </a:lnTo>
                <a:lnTo>
                  <a:pt x="296" y="235"/>
                </a:lnTo>
                <a:lnTo>
                  <a:pt x="280" y="267"/>
                </a:lnTo>
                <a:lnTo>
                  <a:pt x="265" y="300"/>
                </a:lnTo>
                <a:lnTo>
                  <a:pt x="254" y="335"/>
                </a:lnTo>
                <a:lnTo>
                  <a:pt x="243" y="372"/>
                </a:lnTo>
                <a:lnTo>
                  <a:pt x="235" y="408"/>
                </a:lnTo>
                <a:lnTo>
                  <a:pt x="230" y="447"/>
                </a:lnTo>
                <a:lnTo>
                  <a:pt x="226" y="488"/>
                </a:lnTo>
                <a:lnTo>
                  <a:pt x="226" y="526"/>
                </a:lnTo>
                <a:lnTo>
                  <a:pt x="226" y="526"/>
                </a:lnTo>
                <a:lnTo>
                  <a:pt x="226" y="560"/>
                </a:lnTo>
                <a:lnTo>
                  <a:pt x="228" y="594"/>
                </a:lnTo>
                <a:lnTo>
                  <a:pt x="232" y="628"/>
                </a:lnTo>
                <a:lnTo>
                  <a:pt x="239" y="661"/>
                </a:lnTo>
                <a:lnTo>
                  <a:pt x="246" y="694"/>
                </a:lnTo>
                <a:lnTo>
                  <a:pt x="257" y="725"/>
                </a:lnTo>
                <a:lnTo>
                  <a:pt x="270" y="757"/>
                </a:lnTo>
                <a:lnTo>
                  <a:pt x="285" y="786"/>
                </a:lnTo>
                <a:lnTo>
                  <a:pt x="305" y="812"/>
                </a:lnTo>
                <a:lnTo>
                  <a:pt x="327" y="838"/>
                </a:lnTo>
                <a:lnTo>
                  <a:pt x="338" y="849"/>
                </a:lnTo>
                <a:lnTo>
                  <a:pt x="353" y="858"/>
                </a:lnTo>
                <a:lnTo>
                  <a:pt x="366" y="869"/>
                </a:lnTo>
                <a:lnTo>
                  <a:pt x="383" y="876"/>
                </a:lnTo>
                <a:lnTo>
                  <a:pt x="397" y="885"/>
                </a:lnTo>
                <a:lnTo>
                  <a:pt x="416" y="891"/>
                </a:lnTo>
                <a:lnTo>
                  <a:pt x="434" y="898"/>
                </a:lnTo>
                <a:lnTo>
                  <a:pt x="453" y="904"/>
                </a:lnTo>
                <a:lnTo>
                  <a:pt x="473" y="908"/>
                </a:lnTo>
                <a:lnTo>
                  <a:pt x="495" y="909"/>
                </a:lnTo>
                <a:lnTo>
                  <a:pt x="517" y="911"/>
                </a:lnTo>
                <a:lnTo>
                  <a:pt x="541" y="913"/>
                </a:lnTo>
                <a:lnTo>
                  <a:pt x="541" y="913"/>
                </a:lnTo>
                <a:lnTo>
                  <a:pt x="574" y="911"/>
                </a:lnTo>
                <a:lnTo>
                  <a:pt x="607" y="906"/>
                </a:lnTo>
                <a:lnTo>
                  <a:pt x="640" y="898"/>
                </a:lnTo>
                <a:lnTo>
                  <a:pt x="672" y="887"/>
                </a:lnTo>
                <a:lnTo>
                  <a:pt x="701" y="873"/>
                </a:lnTo>
                <a:lnTo>
                  <a:pt x="729" y="858"/>
                </a:lnTo>
                <a:lnTo>
                  <a:pt x="753" y="839"/>
                </a:lnTo>
                <a:lnTo>
                  <a:pt x="775" y="819"/>
                </a:lnTo>
                <a:lnTo>
                  <a:pt x="797" y="797"/>
                </a:lnTo>
                <a:lnTo>
                  <a:pt x="797" y="862"/>
                </a:lnTo>
                <a:lnTo>
                  <a:pt x="797" y="862"/>
                </a:lnTo>
                <a:lnTo>
                  <a:pt x="795" y="885"/>
                </a:lnTo>
                <a:lnTo>
                  <a:pt x="789" y="908"/>
                </a:lnTo>
                <a:lnTo>
                  <a:pt x="780" y="928"/>
                </a:lnTo>
                <a:lnTo>
                  <a:pt x="767" y="946"/>
                </a:lnTo>
                <a:lnTo>
                  <a:pt x="751" y="965"/>
                </a:lnTo>
                <a:lnTo>
                  <a:pt x="732" y="979"/>
                </a:lnTo>
                <a:lnTo>
                  <a:pt x="712" y="994"/>
                </a:lnTo>
                <a:lnTo>
                  <a:pt x="690" y="1009"/>
                </a:lnTo>
                <a:lnTo>
                  <a:pt x="664" y="1020"/>
                </a:lnTo>
                <a:lnTo>
                  <a:pt x="639" y="1029"/>
                </a:lnTo>
                <a:lnTo>
                  <a:pt x="609" y="1038"/>
                </a:lnTo>
                <a:lnTo>
                  <a:pt x="581" y="1046"/>
                </a:lnTo>
                <a:lnTo>
                  <a:pt x="550" y="1051"/>
                </a:lnTo>
                <a:lnTo>
                  <a:pt x="521" y="1055"/>
                </a:lnTo>
                <a:lnTo>
                  <a:pt x="489" y="1057"/>
                </a:lnTo>
                <a:lnTo>
                  <a:pt x="458" y="1059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/>
          </xdr:cNvSpPr>
        </xdr:nvSpPr>
        <xdr:spPr bwMode="blackGray">
          <a:xfrm>
            <a:off x="8470705" y="372691"/>
            <a:ext cx="60920" cy="173428"/>
          </a:xfrm>
          <a:custGeom>
            <a:avLst/>
            <a:gdLst>
              <a:gd name="T0" fmla="*/ 214 w 472"/>
              <a:gd name="T1" fmla="*/ 1337 h 1337"/>
              <a:gd name="T2" fmla="*/ 164 w 472"/>
              <a:gd name="T3" fmla="*/ 1333 h 1337"/>
              <a:gd name="T4" fmla="*/ 120 w 472"/>
              <a:gd name="T5" fmla="*/ 1322 h 1337"/>
              <a:gd name="T6" fmla="*/ 85 w 472"/>
              <a:gd name="T7" fmla="*/ 1302 h 1337"/>
              <a:gd name="T8" fmla="*/ 54 w 472"/>
              <a:gd name="T9" fmla="*/ 1276 h 1337"/>
              <a:gd name="T10" fmla="*/ 30 w 472"/>
              <a:gd name="T11" fmla="*/ 1243 h 1337"/>
              <a:gd name="T12" fmla="*/ 13 w 472"/>
              <a:gd name="T13" fmla="*/ 1202 h 1337"/>
              <a:gd name="T14" fmla="*/ 4 w 472"/>
              <a:gd name="T15" fmla="*/ 1154 h 1337"/>
              <a:gd name="T16" fmla="*/ 0 w 472"/>
              <a:gd name="T17" fmla="*/ 1099 h 1337"/>
              <a:gd name="T18" fmla="*/ 190 w 472"/>
              <a:gd name="T19" fmla="*/ 0 h 1337"/>
              <a:gd name="T20" fmla="*/ 361 w 472"/>
              <a:gd name="T21" fmla="*/ 311 h 1337"/>
              <a:gd name="T22" fmla="*/ 369 w 472"/>
              <a:gd name="T23" fmla="*/ 313 h 1337"/>
              <a:gd name="T24" fmla="*/ 385 w 472"/>
              <a:gd name="T25" fmla="*/ 318 h 1337"/>
              <a:gd name="T26" fmla="*/ 392 w 472"/>
              <a:gd name="T27" fmla="*/ 329 h 1337"/>
              <a:gd name="T28" fmla="*/ 392 w 472"/>
              <a:gd name="T29" fmla="*/ 338 h 1337"/>
              <a:gd name="T30" fmla="*/ 389 w 472"/>
              <a:gd name="T31" fmla="*/ 359 h 1337"/>
              <a:gd name="T32" fmla="*/ 376 w 472"/>
              <a:gd name="T33" fmla="*/ 373 h 1337"/>
              <a:gd name="T34" fmla="*/ 357 w 472"/>
              <a:gd name="T35" fmla="*/ 386 h 1337"/>
              <a:gd name="T36" fmla="*/ 308 w 472"/>
              <a:gd name="T37" fmla="*/ 405 h 1337"/>
              <a:gd name="T38" fmla="*/ 247 w 472"/>
              <a:gd name="T39" fmla="*/ 414 h 1337"/>
              <a:gd name="T40" fmla="*/ 190 w 472"/>
              <a:gd name="T41" fmla="*/ 414 h 1337"/>
              <a:gd name="T42" fmla="*/ 190 w 472"/>
              <a:gd name="T43" fmla="*/ 1066 h 1337"/>
              <a:gd name="T44" fmla="*/ 194 w 472"/>
              <a:gd name="T45" fmla="*/ 1117 h 1337"/>
              <a:gd name="T46" fmla="*/ 201 w 472"/>
              <a:gd name="T47" fmla="*/ 1147 h 1337"/>
              <a:gd name="T48" fmla="*/ 212 w 472"/>
              <a:gd name="T49" fmla="*/ 1162 h 1337"/>
              <a:gd name="T50" fmla="*/ 225 w 472"/>
              <a:gd name="T51" fmla="*/ 1175 h 1337"/>
              <a:gd name="T52" fmla="*/ 241 w 472"/>
              <a:gd name="T53" fmla="*/ 1182 h 1337"/>
              <a:gd name="T54" fmla="*/ 278 w 472"/>
              <a:gd name="T55" fmla="*/ 1186 h 1337"/>
              <a:gd name="T56" fmla="*/ 295 w 472"/>
              <a:gd name="T57" fmla="*/ 1184 h 1337"/>
              <a:gd name="T58" fmla="*/ 343 w 472"/>
              <a:gd name="T59" fmla="*/ 1173 h 1337"/>
              <a:gd name="T60" fmla="*/ 396 w 472"/>
              <a:gd name="T61" fmla="*/ 1154 h 1337"/>
              <a:gd name="T62" fmla="*/ 437 w 472"/>
              <a:gd name="T63" fmla="*/ 1136 h 1337"/>
              <a:gd name="T64" fmla="*/ 472 w 472"/>
              <a:gd name="T65" fmla="*/ 1105 h 1337"/>
              <a:gd name="T66" fmla="*/ 461 w 472"/>
              <a:gd name="T67" fmla="*/ 1230 h 1337"/>
              <a:gd name="T68" fmla="*/ 451 w 472"/>
              <a:gd name="T69" fmla="*/ 1245 h 1337"/>
              <a:gd name="T70" fmla="*/ 431 w 472"/>
              <a:gd name="T71" fmla="*/ 1261 h 1337"/>
              <a:gd name="T72" fmla="*/ 367 w 472"/>
              <a:gd name="T73" fmla="*/ 1296 h 1337"/>
              <a:gd name="T74" fmla="*/ 286 w 472"/>
              <a:gd name="T75" fmla="*/ 1324 h 1337"/>
              <a:gd name="T76" fmla="*/ 229 w 472"/>
              <a:gd name="T77" fmla="*/ 1335 h 1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472" h="1337">
                <a:moveTo>
                  <a:pt x="214" y="1337"/>
                </a:moveTo>
                <a:lnTo>
                  <a:pt x="214" y="1337"/>
                </a:lnTo>
                <a:lnTo>
                  <a:pt x="188" y="1335"/>
                </a:lnTo>
                <a:lnTo>
                  <a:pt x="164" y="1333"/>
                </a:lnTo>
                <a:lnTo>
                  <a:pt x="142" y="1327"/>
                </a:lnTo>
                <a:lnTo>
                  <a:pt x="120" y="1322"/>
                </a:lnTo>
                <a:lnTo>
                  <a:pt x="102" y="1313"/>
                </a:lnTo>
                <a:lnTo>
                  <a:pt x="85" y="1302"/>
                </a:lnTo>
                <a:lnTo>
                  <a:pt x="68" y="1291"/>
                </a:lnTo>
                <a:lnTo>
                  <a:pt x="54" y="1276"/>
                </a:lnTo>
                <a:lnTo>
                  <a:pt x="41" y="1259"/>
                </a:lnTo>
                <a:lnTo>
                  <a:pt x="30" y="1243"/>
                </a:lnTo>
                <a:lnTo>
                  <a:pt x="21" y="1222"/>
                </a:lnTo>
                <a:lnTo>
                  <a:pt x="13" y="1202"/>
                </a:lnTo>
                <a:lnTo>
                  <a:pt x="8" y="1178"/>
                </a:lnTo>
                <a:lnTo>
                  <a:pt x="4" y="1154"/>
                </a:lnTo>
                <a:lnTo>
                  <a:pt x="0" y="1127"/>
                </a:lnTo>
                <a:lnTo>
                  <a:pt x="0" y="1099"/>
                </a:lnTo>
                <a:lnTo>
                  <a:pt x="10" y="47"/>
                </a:lnTo>
                <a:lnTo>
                  <a:pt x="190" y="0"/>
                </a:lnTo>
                <a:lnTo>
                  <a:pt x="190" y="311"/>
                </a:lnTo>
                <a:lnTo>
                  <a:pt x="361" y="311"/>
                </a:lnTo>
                <a:lnTo>
                  <a:pt x="361" y="311"/>
                </a:lnTo>
                <a:lnTo>
                  <a:pt x="369" y="313"/>
                </a:lnTo>
                <a:lnTo>
                  <a:pt x="380" y="314"/>
                </a:lnTo>
                <a:lnTo>
                  <a:pt x="385" y="318"/>
                </a:lnTo>
                <a:lnTo>
                  <a:pt x="389" y="324"/>
                </a:lnTo>
                <a:lnTo>
                  <a:pt x="392" y="329"/>
                </a:lnTo>
                <a:lnTo>
                  <a:pt x="392" y="338"/>
                </a:lnTo>
                <a:lnTo>
                  <a:pt x="392" y="338"/>
                </a:lnTo>
                <a:lnTo>
                  <a:pt x="392" y="349"/>
                </a:lnTo>
                <a:lnTo>
                  <a:pt x="389" y="359"/>
                </a:lnTo>
                <a:lnTo>
                  <a:pt x="383" y="366"/>
                </a:lnTo>
                <a:lnTo>
                  <a:pt x="376" y="373"/>
                </a:lnTo>
                <a:lnTo>
                  <a:pt x="369" y="381"/>
                </a:lnTo>
                <a:lnTo>
                  <a:pt x="357" y="386"/>
                </a:lnTo>
                <a:lnTo>
                  <a:pt x="335" y="397"/>
                </a:lnTo>
                <a:lnTo>
                  <a:pt x="308" y="405"/>
                </a:lnTo>
                <a:lnTo>
                  <a:pt x="278" y="410"/>
                </a:lnTo>
                <a:lnTo>
                  <a:pt x="247" y="414"/>
                </a:lnTo>
                <a:lnTo>
                  <a:pt x="216" y="414"/>
                </a:lnTo>
                <a:lnTo>
                  <a:pt x="190" y="414"/>
                </a:lnTo>
                <a:lnTo>
                  <a:pt x="190" y="1066"/>
                </a:lnTo>
                <a:lnTo>
                  <a:pt x="190" y="1066"/>
                </a:lnTo>
                <a:lnTo>
                  <a:pt x="190" y="1093"/>
                </a:lnTo>
                <a:lnTo>
                  <a:pt x="194" y="1117"/>
                </a:lnTo>
                <a:lnTo>
                  <a:pt x="197" y="1138"/>
                </a:lnTo>
                <a:lnTo>
                  <a:pt x="201" y="1147"/>
                </a:lnTo>
                <a:lnTo>
                  <a:pt x="207" y="1156"/>
                </a:lnTo>
                <a:lnTo>
                  <a:pt x="212" y="1162"/>
                </a:lnTo>
                <a:lnTo>
                  <a:pt x="218" y="1169"/>
                </a:lnTo>
                <a:lnTo>
                  <a:pt x="225" y="1175"/>
                </a:lnTo>
                <a:lnTo>
                  <a:pt x="232" y="1178"/>
                </a:lnTo>
                <a:lnTo>
                  <a:pt x="241" y="1182"/>
                </a:lnTo>
                <a:lnTo>
                  <a:pt x="253" y="1184"/>
                </a:lnTo>
                <a:lnTo>
                  <a:pt x="278" y="1186"/>
                </a:lnTo>
                <a:lnTo>
                  <a:pt x="278" y="1186"/>
                </a:lnTo>
                <a:lnTo>
                  <a:pt x="295" y="1184"/>
                </a:lnTo>
                <a:lnTo>
                  <a:pt x="319" y="1180"/>
                </a:lnTo>
                <a:lnTo>
                  <a:pt x="343" y="1173"/>
                </a:lnTo>
                <a:lnTo>
                  <a:pt x="370" y="1165"/>
                </a:lnTo>
                <a:lnTo>
                  <a:pt x="396" y="1154"/>
                </a:lnTo>
                <a:lnTo>
                  <a:pt x="418" y="1145"/>
                </a:lnTo>
                <a:lnTo>
                  <a:pt x="437" y="1136"/>
                </a:lnTo>
                <a:lnTo>
                  <a:pt x="448" y="1127"/>
                </a:lnTo>
                <a:lnTo>
                  <a:pt x="472" y="1105"/>
                </a:lnTo>
                <a:lnTo>
                  <a:pt x="461" y="1230"/>
                </a:lnTo>
                <a:lnTo>
                  <a:pt x="461" y="1230"/>
                </a:lnTo>
                <a:lnTo>
                  <a:pt x="459" y="1237"/>
                </a:lnTo>
                <a:lnTo>
                  <a:pt x="451" y="1245"/>
                </a:lnTo>
                <a:lnTo>
                  <a:pt x="444" y="1252"/>
                </a:lnTo>
                <a:lnTo>
                  <a:pt x="431" y="1261"/>
                </a:lnTo>
                <a:lnTo>
                  <a:pt x="402" y="1278"/>
                </a:lnTo>
                <a:lnTo>
                  <a:pt x="367" y="1296"/>
                </a:lnTo>
                <a:lnTo>
                  <a:pt x="326" y="1311"/>
                </a:lnTo>
                <a:lnTo>
                  <a:pt x="286" y="1324"/>
                </a:lnTo>
                <a:lnTo>
                  <a:pt x="247" y="1333"/>
                </a:lnTo>
                <a:lnTo>
                  <a:pt x="229" y="1335"/>
                </a:lnTo>
                <a:lnTo>
                  <a:pt x="214" y="1337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19" name="Freeform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/>
          </xdr:cNvSpPr>
        </xdr:nvSpPr>
        <xdr:spPr bwMode="blackGray">
          <a:xfrm>
            <a:off x="8470705" y="372691"/>
            <a:ext cx="60920" cy="173428"/>
          </a:xfrm>
          <a:custGeom>
            <a:avLst/>
            <a:gdLst>
              <a:gd name="T0" fmla="*/ 214 w 472"/>
              <a:gd name="T1" fmla="*/ 1337 h 1337"/>
              <a:gd name="T2" fmla="*/ 164 w 472"/>
              <a:gd name="T3" fmla="*/ 1333 h 1337"/>
              <a:gd name="T4" fmla="*/ 120 w 472"/>
              <a:gd name="T5" fmla="*/ 1322 h 1337"/>
              <a:gd name="T6" fmla="*/ 85 w 472"/>
              <a:gd name="T7" fmla="*/ 1302 h 1337"/>
              <a:gd name="T8" fmla="*/ 54 w 472"/>
              <a:gd name="T9" fmla="*/ 1276 h 1337"/>
              <a:gd name="T10" fmla="*/ 30 w 472"/>
              <a:gd name="T11" fmla="*/ 1243 h 1337"/>
              <a:gd name="T12" fmla="*/ 13 w 472"/>
              <a:gd name="T13" fmla="*/ 1202 h 1337"/>
              <a:gd name="T14" fmla="*/ 4 w 472"/>
              <a:gd name="T15" fmla="*/ 1154 h 1337"/>
              <a:gd name="T16" fmla="*/ 0 w 472"/>
              <a:gd name="T17" fmla="*/ 1099 h 1337"/>
              <a:gd name="T18" fmla="*/ 190 w 472"/>
              <a:gd name="T19" fmla="*/ 0 h 1337"/>
              <a:gd name="T20" fmla="*/ 361 w 472"/>
              <a:gd name="T21" fmla="*/ 311 h 1337"/>
              <a:gd name="T22" fmla="*/ 369 w 472"/>
              <a:gd name="T23" fmla="*/ 313 h 1337"/>
              <a:gd name="T24" fmla="*/ 385 w 472"/>
              <a:gd name="T25" fmla="*/ 318 h 1337"/>
              <a:gd name="T26" fmla="*/ 392 w 472"/>
              <a:gd name="T27" fmla="*/ 329 h 1337"/>
              <a:gd name="T28" fmla="*/ 392 w 472"/>
              <a:gd name="T29" fmla="*/ 338 h 1337"/>
              <a:gd name="T30" fmla="*/ 389 w 472"/>
              <a:gd name="T31" fmla="*/ 359 h 1337"/>
              <a:gd name="T32" fmla="*/ 376 w 472"/>
              <a:gd name="T33" fmla="*/ 373 h 1337"/>
              <a:gd name="T34" fmla="*/ 357 w 472"/>
              <a:gd name="T35" fmla="*/ 386 h 1337"/>
              <a:gd name="T36" fmla="*/ 308 w 472"/>
              <a:gd name="T37" fmla="*/ 405 h 1337"/>
              <a:gd name="T38" fmla="*/ 247 w 472"/>
              <a:gd name="T39" fmla="*/ 414 h 1337"/>
              <a:gd name="T40" fmla="*/ 190 w 472"/>
              <a:gd name="T41" fmla="*/ 414 h 1337"/>
              <a:gd name="T42" fmla="*/ 190 w 472"/>
              <a:gd name="T43" fmla="*/ 1066 h 1337"/>
              <a:gd name="T44" fmla="*/ 194 w 472"/>
              <a:gd name="T45" fmla="*/ 1117 h 1337"/>
              <a:gd name="T46" fmla="*/ 201 w 472"/>
              <a:gd name="T47" fmla="*/ 1147 h 1337"/>
              <a:gd name="T48" fmla="*/ 212 w 472"/>
              <a:gd name="T49" fmla="*/ 1162 h 1337"/>
              <a:gd name="T50" fmla="*/ 225 w 472"/>
              <a:gd name="T51" fmla="*/ 1175 h 1337"/>
              <a:gd name="T52" fmla="*/ 241 w 472"/>
              <a:gd name="T53" fmla="*/ 1182 h 1337"/>
              <a:gd name="T54" fmla="*/ 278 w 472"/>
              <a:gd name="T55" fmla="*/ 1186 h 1337"/>
              <a:gd name="T56" fmla="*/ 295 w 472"/>
              <a:gd name="T57" fmla="*/ 1184 h 1337"/>
              <a:gd name="T58" fmla="*/ 343 w 472"/>
              <a:gd name="T59" fmla="*/ 1173 h 1337"/>
              <a:gd name="T60" fmla="*/ 396 w 472"/>
              <a:gd name="T61" fmla="*/ 1154 h 1337"/>
              <a:gd name="T62" fmla="*/ 437 w 472"/>
              <a:gd name="T63" fmla="*/ 1136 h 1337"/>
              <a:gd name="T64" fmla="*/ 472 w 472"/>
              <a:gd name="T65" fmla="*/ 1105 h 1337"/>
              <a:gd name="T66" fmla="*/ 461 w 472"/>
              <a:gd name="T67" fmla="*/ 1230 h 1337"/>
              <a:gd name="T68" fmla="*/ 451 w 472"/>
              <a:gd name="T69" fmla="*/ 1245 h 1337"/>
              <a:gd name="T70" fmla="*/ 431 w 472"/>
              <a:gd name="T71" fmla="*/ 1261 h 1337"/>
              <a:gd name="T72" fmla="*/ 367 w 472"/>
              <a:gd name="T73" fmla="*/ 1296 h 1337"/>
              <a:gd name="T74" fmla="*/ 286 w 472"/>
              <a:gd name="T75" fmla="*/ 1324 h 1337"/>
              <a:gd name="T76" fmla="*/ 229 w 472"/>
              <a:gd name="T77" fmla="*/ 1335 h 1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472" h="1337">
                <a:moveTo>
                  <a:pt x="214" y="1337"/>
                </a:moveTo>
                <a:lnTo>
                  <a:pt x="214" y="1337"/>
                </a:lnTo>
                <a:lnTo>
                  <a:pt x="188" y="1335"/>
                </a:lnTo>
                <a:lnTo>
                  <a:pt x="164" y="1333"/>
                </a:lnTo>
                <a:lnTo>
                  <a:pt x="142" y="1327"/>
                </a:lnTo>
                <a:lnTo>
                  <a:pt x="120" y="1322"/>
                </a:lnTo>
                <a:lnTo>
                  <a:pt x="102" y="1313"/>
                </a:lnTo>
                <a:lnTo>
                  <a:pt x="85" y="1302"/>
                </a:lnTo>
                <a:lnTo>
                  <a:pt x="68" y="1291"/>
                </a:lnTo>
                <a:lnTo>
                  <a:pt x="54" y="1276"/>
                </a:lnTo>
                <a:lnTo>
                  <a:pt x="41" y="1259"/>
                </a:lnTo>
                <a:lnTo>
                  <a:pt x="30" y="1243"/>
                </a:lnTo>
                <a:lnTo>
                  <a:pt x="21" y="1222"/>
                </a:lnTo>
                <a:lnTo>
                  <a:pt x="13" y="1202"/>
                </a:lnTo>
                <a:lnTo>
                  <a:pt x="8" y="1178"/>
                </a:lnTo>
                <a:lnTo>
                  <a:pt x="4" y="1154"/>
                </a:lnTo>
                <a:lnTo>
                  <a:pt x="0" y="1127"/>
                </a:lnTo>
                <a:lnTo>
                  <a:pt x="0" y="1099"/>
                </a:lnTo>
                <a:lnTo>
                  <a:pt x="10" y="47"/>
                </a:lnTo>
                <a:lnTo>
                  <a:pt x="190" y="0"/>
                </a:lnTo>
                <a:lnTo>
                  <a:pt x="190" y="311"/>
                </a:lnTo>
                <a:lnTo>
                  <a:pt x="361" y="311"/>
                </a:lnTo>
                <a:lnTo>
                  <a:pt x="361" y="311"/>
                </a:lnTo>
                <a:lnTo>
                  <a:pt x="369" y="313"/>
                </a:lnTo>
                <a:lnTo>
                  <a:pt x="380" y="314"/>
                </a:lnTo>
                <a:lnTo>
                  <a:pt x="385" y="318"/>
                </a:lnTo>
                <a:lnTo>
                  <a:pt x="389" y="324"/>
                </a:lnTo>
                <a:lnTo>
                  <a:pt x="392" y="329"/>
                </a:lnTo>
                <a:lnTo>
                  <a:pt x="392" y="338"/>
                </a:lnTo>
                <a:lnTo>
                  <a:pt x="392" y="338"/>
                </a:lnTo>
                <a:lnTo>
                  <a:pt x="392" y="349"/>
                </a:lnTo>
                <a:lnTo>
                  <a:pt x="389" y="359"/>
                </a:lnTo>
                <a:lnTo>
                  <a:pt x="383" y="366"/>
                </a:lnTo>
                <a:lnTo>
                  <a:pt x="376" y="373"/>
                </a:lnTo>
                <a:lnTo>
                  <a:pt x="369" y="381"/>
                </a:lnTo>
                <a:lnTo>
                  <a:pt x="357" y="386"/>
                </a:lnTo>
                <a:lnTo>
                  <a:pt x="335" y="397"/>
                </a:lnTo>
                <a:lnTo>
                  <a:pt x="308" y="405"/>
                </a:lnTo>
                <a:lnTo>
                  <a:pt x="278" y="410"/>
                </a:lnTo>
                <a:lnTo>
                  <a:pt x="247" y="414"/>
                </a:lnTo>
                <a:lnTo>
                  <a:pt x="216" y="414"/>
                </a:lnTo>
                <a:lnTo>
                  <a:pt x="190" y="414"/>
                </a:lnTo>
                <a:lnTo>
                  <a:pt x="190" y="1066"/>
                </a:lnTo>
                <a:lnTo>
                  <a:pt x="190" y="1066"/>
                </a:lnTo>
                <a:lnTo>
                  <a:pt x="190" y="1093"/>
                </a:lnTo>
                <a:lnTo>
                  <a:pt x="194" y="1117"/>
                </a:lnTo>
                <a:lnTo>
                  <a:pt x="197" y="1138"/>
                </a:lnTo>
                <a:lnTo>
                  <a:pt x="201" y="1147"/>
                </a:lnTo>
                <a:lnTo>
                  <a:pt x="207" y="1156"/>
                </a:lnTo>
                <a:lnTo>
                  <a:pt x="212" y="1162"/>
                </a:lnTo>
                <a:lnTo>
                  <a:pt x="218" y="1169"/>
                </a:lnTo>
                <a:lnTo>
                  <a:pt x="225" y="1175"/>
                </a:lnTo>
                <a:lnTo>
                  <a:pt x="232" y="1178"/>
                </a:lnTo>
                <a:lnTo>
                  <a:pt x="241" y="1182"/>
                </a:lnTo>
                <a:lnTo>
                  <a:pt x="253" y="1184"/>
                </a:lnTo>
                <a:lnTo>
                  <a:pt x="278" y="1186"/>
                </a:lnTo>
                <a:lnTo>
                  <a:pt x="278" y="1186"/>
                </a:lnTo>
                <a:lnTo>
                  <a:pt x="295" y="1184"/>
                </a:lnTo>
                <a:lnTo>
                  <a:pt x="319" y="1180"/>
                </a:lnTo>
                <a:lnTo>
                  <a:pt x="343" y="1173"/>
                </a:lnTo>
                <a:lnTo>
                  <a:pt x="370" y="1165"/>
                </a:lnTo>
                <a:lnTo>
                  <a:pt x="396" y="1154"/>
                </a:lnTo>
                <a:lnTo>
                  <a:pt x="418" y="1145"/>
                </a:lnTo>
                <a:lnTo>
                  <a:pt x="437" y="1136"/>
                </a:lnTo>
                <a:lnTo>
                  <a:pt x="448" y="1127"/>
                </a:lnTo>
                <a:lnTo>
                  <a:pt x="472" y="1105"/>
                </a:lnTo>
                <a:lnTo>
                  <a:pt x="461" y="1230"/>
                </a:lnTo>
                <a:lnTo>
                  <a:pt x="461" y="1230"/>
                </a:lnTo>
                <a:lnTo>
                  <a:pt x="459" y="1237"/>
                </a:lnTo>
                <a:lnTo>
                  <a:pt x="451" y="1245"/>
                </a:lnTo>
                <a:lnTo>
                  <a:pt x="444" y="1252"/>
                </a:lnTo>
                <a:lnTo>
                  <a:pt x="431" y="1261"/>
                </a:lnTo>
                <a:lnTo>
                  <a:pt x="402" y="1278"/>
                </a:lnTo>
                <a:lnTo>
                  <a:pt x="367" y="1296"/>
                </a:lnTo>
                <a:lnTo>
                  <a:pt x="326" y="1311"/>
                </a:lnTo>
                <a:lnTo>
                  <a:pt x="286" y="1324"/>
                </a:lnTo>
                <a:lnTo>
                  <a:pt x="247" y="1333"/>
                </a:lnTo>
                <a:lnTo>
                  <a:pt x="229" y="1335"/>
                </a:lnTo>
                <a:lnTo>
                  <a:pt x="214" y="1337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0" name="Freeform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/>
          </xdr:cNvSpPr>
        </xdr:nvSpPr>
        <xdr:spPr bwMode="blackGray">
          <a:xfrm>
            <a:off x="8531624" y="407891"/>
            <a:ext cx="116692" cy="138228"/>
          </a:xfrm>
          <a:custGeom>
            <a:avLst/>
            <a:gdLst>
              <a:gd name="T0" fmla="*/ 356 w 899"/>
              <a:gd name="T1" fmla="*/ 1063 h 1063"/>
              <a:gd name="T2" fmla="*/ 293 w 899"/>
              <a:gd name="T3" fmla="*/ 1057 h 1063"/>
              <a:gd name="T4" fmla="*/ 238 w 899"/>
              <a:gd name="T5" fmla="*/ 1040 h 1063"/>
              <a:gd name="T6" fmla="*/ 190 w 899"/>
              <a:gd name="T7" fmla="*/ 1015 h 1063"/>
              <a:gd name="T8" fmla="*/ 148 w 899"/>
              <a:gd name="T9" fmla="*/ 980 h 1063"/>
              <a:gd name="T10" fmla="*/ 116 w 899"/>
              <a:gd name="T11" fmla="*/ 936 h 1063"/>
              <a:gd name="T12" fmla="*/ 90 w 899"/>
              <a:gd name="T13" fmla="*/ 884 h 1063"/>
              <a:gd name="T14" fmla="*/ 76 w 899"/>
              <a:gd name="T15" fmla="*/ 825 h 1063"/>
              <a:gd name="T16" fmla="*/ 70 w 899"/>
              <a:gd name="T17" fmla="*/ 761 h 1063"/>
              <a:gd name="T18" fmla="*/ 70 w 899"/>
              <a:gd name="T19" fmla="*/ 188 h 1063"/>
              <a:gd name="T20" fmla="*/ 68 w 899"/>
              <a:gd name="T21" fmla="*/ 122 h 1063"/>
              <a:gd name="T22" fmla="*/ 59 w 899"/>
              <a:gd name="T23" fmla="*/ 88 h 1063"/>
              <a:gd name="T24" fmla="*/ 41 w 899"/>
              <a:gd name="T25" fmla="*/ 63 h 1063"/>
              <a:gd name="T26" fmla="*/ 0 w 899"/>
              <a:gd name="T27" fmla="*/ 33 h 1063"/>
              <a:gd name="T28" fmla="*/ 33 w 899"/>
              <a:gd name="T29" fmla="*/ 29 h 1063"/>
              <a:gd name="T30" fmla="*/ 100 w 899"/>
              <a:gd name="T31" fmla="*/ 18 h 1063"/>
              <a:gd name="T32" fmla="*/ 194 w 899"/>
              <a:gd name="T33" fmla="*/ 4 h 1063"/>
              <a:gd name="T34" fmla="*/ 216 w 899"/>
              <a:gd name="T35" fmla="*/ 4 h 1063"/>
              <a:gd name="T36" fmla="*/ 241 w 899"/>
              <a:gd name="T37" fmla="*/ 9 h 1063"/>
              <a:gd name="T38" fmla="*/ 254 w 899"/>
              <a:gd name="T39" fmla="*/ 26 h 1063"/>
              <a:gd name="T40" fmla="*/ 260 w 899"/>
              <a:gd name="T41" fmla="*/ 44 h 1063"/>
              <a:gd name="T42" fmla="*/ 260 w 899"/>
              <a:gd name="T43" fmla="*/ 643 h 1063"/>
              <a:gd name="T44" fmla="*/ 262 w 899"/>
              <a:gd name="T45" fmla="*/ 696 h 1063"/>
              <a:gd name="T46" fmla="*/ 267 w 899"/>
              <a:gd name="T47" fmla="*/ 748 h 1063"/>
              <a:gd name="T48" fmla="*/ 276 w 899"/>
              <a:gd name="T49" fmla="*/ 794 h 1063"/>
              <a:gd name="T50" fmla="*/ 293 w 899"/>
              <a:gd name="T51" fmla="*/ 836 h 1063"/>
              <a:gd name="T52" fmla="*/ 317 w 899"/>
              <a:gd name="T53" fmla="*/ 871 h 1063"/>
              <a:gd name="T54" fmla="*/ 348 w 899"/>
              <a:gd name="T55" fmla="*/ 897 h 1063"/>
              <a:gd name="T56" fmla="*/ 392 w 899"/>
              <a:gd name="T57" fmla="*/ 915 h 1063"/>
              <a:gd name="T58" fmla="*/ 448 w 899"/>
              <a:gd name="T59" fmla="*/ 921 h 1063"/>
              <a:gd name="T60" fmla="*/ 479 w 899"/>
              <a:gd name="T61" fmla="*/ 919 h 1063"/>
              <a:gd name="T62" fmla="*/ 508 w 899"/>
              <a:gd name="T63" fmla="*/ 913 h 1063"/>
              <a:gd name="T64" fmla="*/ 532 w 899"/>
              <a:gd name="T65" fmla="*/ 902 h 1063"/>
              <a:gd name="T66" fmla="*/ 554 w 899"/>
              <a:gd name="T67" fmla="*/ 889 h 1063"/>
              <a:gd name="T68" fmla="*/ 589 w 899"/>
              <a:gd name="T69" fmla="*/ 854 h 1063"/>
              <a:gd name="T70" fmla="*/ 613 w 899"/>
              <a:gd name="T71" fmla="*/ 808 h 1063"/>
              <a:gd name="T72" fmla="*/ 630 w 899"/>
              <a:gd name="T73" fmla="*/ 755 h 1063"/>
              <a:gd name="T74" fmla="*/ 639 w 899"/>
              <a:gd name="T75" fmla="*/ 696 h 1063"/>
              <a:gd name="T76" fmla="*/ 643 w 899"/>
              <a:gd name="T77" fmla="*/ 633 h 1063"/>
              <a:gd name="T78" fmla="*/ 645 w 899"/>
              <a:gd name="T79" fmla="*/ 197 h 1063"/>
              <a:gd name="T80" fmla="*/ 643 w 899"/>
              <a:gd name="T81" fmla="*/ 149 h 1063"/>
              <a:gd name="T82" fmla="*/ 637 w 899"/>
              <a:gd name="T83" fmla="*/ 112 h 1063"/>
              <a:gd name="T84" fmla="*/ 624 w 899"/>
              <a:gd name="T85" fmla="*/ 83 h 1063"/>
              <a:gd name="T86" fmla="*/ 600 w 899"/>
              <a:gd name="T87" fmla="*/ 61 h 1063"/>
              <a:gd name="T88" fmla="*/ 834 w 899"/>
              <a:gd name="T89" fmla="*/ 0 h 1063"/>
              <a:gd name="T90" fmla="*/ 834 w 899"/>
              <a:gd name="T91" fmla="*/ 799 h 1063"/>
              <a:gd name="T92" fmla="*/ 836 w 899"/>
              <a:gd name="T93" fmla="*/ 891 h 1063"/>
              <a:gd name="T94" fmla="*/ 845 w 899"/>
              <a:gd name="T95" fmla="*/ 947 h 1063"/>
              <a:gd name="T96" fmla="*/ 856 w 899"/>
              <a:gd name="T97" fmla="*/ 980 h 1063"/>
              <a:gd name="T98" fmla="*/ 869 w 899"/>
              <a:gd name="T99" fmla="*/ 998 h 1063"/>
              <a:gd name="T100" fmla="*/ 899 w 899"/>
              <a:gd name="T101" fmla="*/ 1026 h 1063"/>
              <a:gd name="T102" fmla="*/ 646 w 899"/>
              <a:gd name="T103" fmla="*/ 952 h 1063"/>
              <a:gd name="T104" fmla="*/ 645 w 899"/>
              <a:gd name="T105" fmla="*/ 934 h 1063"/>
              <a:gd name="T106" fmla="*/ 635 w 899"/>
              <a:gd name="T107" fmla="*/ 943 h 1063"/>
              <a:gd name="T108" fmla="*/ 619 w 899"/>
              <a:gd name="T109" fmla="*/ 959 h 1063"/>
              <a:gd name="T110" fmla="*/ 569 w 899"/>
              <a:gd name="T111" fmla="*/ 996 h 1063"/>
              <a:gd name="T112" fmla="*/ 519 w 899"/>
              <a:gd name="T113" fmla="*/ 1026 h 1063"/>
              <a:gd name="T114" fmla="*/ 481 w 899"/>
              <a:gd name="T115" fmla="*/ 1042 h 1063"/>
              <a:gd name="T116" fmla="*/ 435 w 899"/>
              <a:gd name="T117" fmla="*/ 1055 h 1063"/>
              <a:gd name="T118" fmla="*/ 383 w 899"/>
              <a:gd name="T119" fmla="*/ 1061 h 10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99" h="1063">
                <a:moveTo>
                  <a:pt x="356" y="1063"/>
                </a:moveTo>
                <a:lnTo>
                  <a:pt x="356" y="1063"/>
                </a:lnTo>
                <a:lnTo>
                  <a:pt x="324" y="1061"/>
                </a:lnTo>
                <a:lnTo>
                  <a:pt x="293" y="1057"/>
                </a:lnTo>
                <a:lnTo>
                  <a:pt x="265" y="1050"/>
                </a:lnTo>
                <a:lnTo>
                  <a:pt x="238" y="1040"/>
                </a:lnTo>
                <a:lnTo>
                  <a:pt x="214" y="1029"/>
                </a:lnTo>
                <a:lnTo>
                  <a:pt x="190" y="1015"/>
                </a:lnTo>
                <a:lnTo>
                  <a:pt x="168" y="998"/>
                </a:lnTo>
                <a:lnTo>
                  <a:pt x="148" y="980"/>
                </a:lnTo>
                <a:lnTo>
                  <a:pt x="131" y="959"/>
                </a:lnTo>
                <a:lnTo>
                  <a:pt x="116" y="936"/>
                </a:lnTo>
                <a:lnTo>
                  <a:pt x="102" y="912"/>
                </a:lnTo>
                <a:lnTo>
                  <a:pt x="90" y="884"/>
                </a:lnTo>
                <a:lnTo>
                  <a:pt x="83" y="856"/>
                </a:lnTo>
                <a:lnTo>
                  <a:pt x="76" y="825"/>
                </a:lnTo>
                <a:lnTo>
                  <a:pt x="72" y="794"/>
                </a:lnTo>
                <a:lnTo>
                  <a:pt x="70" y="761"/>
                </a:lnTo>
                <a:lnTo>
                  <a:pt x="70" y="188"/>
                </a:lnTo>
                <a:lnTo>
                  <a:pt x="70" y="188"/>
                </a:lnTo>
                <a:lnTo>
                  <a:pt x="70" y="140"/>
                </a:lnTo>
                <a:lnTo>
                  <a:pt x="68" y="122"/>
                </a:lnTo>
                <a:lnTo>
                  <a:pt x="65" y="103"/>
                </a:lnTo>
                <a:lnTo>
                  <a:pt x="59" y="88"/>
                </a:lnTo>
                <a:lnTo>
                  <a:pt x="52" y="74"/>
                </a:lnTo>
                <a:lnTo>
                  <a:pt x="41" y="63"/>
                </a:lnTo>
                <a:lnTo>
                  <a:pt x="28" y="52"/>
                </a:lnTo>
                <a:lnTo>
                  <a:pt x="0" y="33"/>
                </a:lnTo>
                <a:lnTo>
                  <a:pt x="33" y="29"/>
                </a:lnTo>
                <a:lnTo>
                  <a:pt x="33" y="29"/>
                </a:lnTo>
                <a:lnTo>
                  <a:pt x="100" y="18"/>
                </a:lnTo>
                <a:lnTo>
                  <a:pt x="100" y="18"/>
                </a:lnTo>
                <a:lnTo>
                  <a:pt x="168" y="7"/>
                </a:lnTo>
                <a:lnTo>
                  <a:pt x="194" y="4"/>
                </a:lnTo>
                <a:lnTo>
                  <a:pt x="216" y="4"/>
                </a:lnTo>
                <a:lnTo>
                  <a:pt x="216" y="4"/>
                </a:lnTo>
                <a:lnTo>
                  <a:pt x="230" y="4"/>
                </a:lnTo>
                <a:lnTo>
                  <a:pt x="241" y="9"/>
                </a:lnTo>
                <a:lnTo>
                  <a:pt x="249" y="17"/>
                </a:lnTo>
                <a:lnTo>
                  <a:pt x="254" y="26"/>
                </a:lnTo>
                <a:lnTo>
                  <a:pt x="258" y="35"/>
                </a:lnTo>
                <a:lnTo>
                  <a:pt x="260" y="44"/>
                </a:lnTo>
                <a:lnTo>
                  <a:pt x="260" y="63"/>
                </a:lnTo>
                <a:lnTo>
                  <a:pt x="260" y="643"/>
                </a:lnTo>
                <a:lnTo>
                  <a:pt x="260" y="643"/>
                </a:lnTo>
                <a:lnTo>
                  <a:pt x="262" y="696"/>
                </a:lnTo>
                <a:lnTo>
                  <a:pt x="264" y="722"/>
                </a:lnTo>
                <a:lnTo>
                  <a:pt x="267" y="748"/>
                </a:lnTo>
                <a:lnTo>
                  <a:pt x="271" y="772"/>
                </a:lnTo>
                <a:lnTo>
                  <a:pt x="276" y="794"/>
                </a:lnTo>
                <a:lnTo>
                  <a:pt x="284" y="816"/>
                </a:lnTo>
                <a:lnTo>
                  <a:pt x="293" y="836"/>
                </a:lnTo>
                <a:lnTo>
                  <a:pt x="304" y="854"/>
                </a:lnTo>
                <a:lnTo>
                  <a:pt x="317" y="871"/>
                </a:lnTo>
                <a:lnTo>
                  <a:pt x="332" y="886"/>
                </a:lnTo>
                <a:lnTo>
                  <a:pt x="348" y="897"/>
                </a:lnTo>
                <a:lnTo>
                  <a:pt x="368" y="908"/>
                </a:lnTo>
                <a:lnTo>
                  <a:pt x="392" y="915"/>
                </a:lnTo>
                <a:lnTo>
                  <a:pt x="418" y="919"/>
                </a:lnTo>
                <a:lnTo>
                  <a:pt x="448" y="921"/>
                </a:lnTo>
                <a:lnTo>
                  <a:pt x="448" y="921"/>
                </a:lnTo>
                <a:lnTo>
                  <a:pt x="479" y="919"/>
                </a:lnTo>
                <a:lnTo>
                  <a:pt x="494" y="915"/>
                </a:lnTo>
                <a:lnTo>
                  <a:pt x="508" y="913"/>
                </a:lnTo>
                <a:lnTo>
                  <a:pt x="521" y="908"/>
                </a:lnTo>
                <a:lnTo>
                  <a:pt x="532" y="902"/>
                </a:lnTo>
                <a:lnTo>
                  <a:pt x="543" y="897"/>
                </a:lnTo>
                <a:lnTo>
                  <a:pt x="554" y="889"/>
                </a:lnTo>
                <a:lnTo>
                  <a:pt x="573" y="873"/>
                </a:lnTo>
                <a:lnTo>
                  <a:pt x="589" y="854"/>
                </a:lnTo>
                <a:lnTo>
                  <a:pt x="602" y="832"/>
                </a:lnTo>
                <a:lnTo>
                  <a:pt x="613" y="808"/>
                </a:lnTo>
                <a:lnTo>
                  <a:pt x="622" y="783"/>
                </a:lnTo>
                <a:lnTo>
                  <a:pt x="630" y="755"/>
                </a:lnTo>
                <a:lnTo>
                  <a:pt x="635" y="726"/>
                </a:lnTo>
                <a:lnTo>
                  <a:pt x="639" y="696"/>
                </a:lnTo>
                <a:lnTo>
                  <a:pt x="641" y="665"/>
                </a:lnTo>
                <a:lnTo>
                  <a:pt x="643" y="633"/>
                </a:lnTo>
                <a:lnTo>
                  <a:pt x="645" y="569"/>
                </a:lnTo>
                <a:lnTo>
                  <a:pt x="645" y="197"/>
                </a:lnTo>
                <a:lnTo>
                  <a:pt x="645" y="197"/>
                </a:lnTo>
                <a:lnTo>
                  <a:pt x="643" y="149"/>
                </a:lnTo>
                <a:lnTo>
                  <a:pt x="641" y="129"/>
                </a:lnTo>
                <a:lnTo>
                  <a:pt x="637" y="112"/>
                </a:lnTo>
                <a:lnTo>
                  <a:pt x="634" y="96"/>
                </a:lnTo>
                <a:lnTo>
                  <a:pt x="624" y="83"/>
                </a:lnTo>
                <a:lnTo>
                  <a:pt x="615" y="72"/>
                </a:lnTo>
                <a:lnTo>
                  <a:pt x="600" y="61"/>
                </a:lnTo>
                <a:lnTo>
                  <a:pt x="575" y="42"/>
                </a:lnTo>
                <a:lnTo>
                  <a:pt x="834" y="0"/>
                </a:lnTo>
                <a:lnTo>
                  <a:pt x="834" y="799"/>
                </a:lnTo>
                <a:lnTo>
                  <a:pt x="834" y="799"/>
                </a:lnTo>
                <a:lnTo>
                  <a:pt x="834" y="862"/>
                </a:lnTo>
                <a:lnTo>
                  <a:pt x="836" y="891"/>
                </a:lnTo>
                <a:lnTo>
                  <a:pt x="840" y="921"/>
                </a:lnTo>
                <a:lnTo>
                  <a:pt x="845" y="947"/>
                </a:lnTo>
                <a:lnTo>
                  <a:pt x="853" y="969"/>
                </a:lnTo>
                <a:lnTo>
                  <a:pt x="856" y="980"/>
                </a:lnTo>
                <a:lnTo>
                  <a:pt x="864" y="989"/>
                </a:lnTo>
                <a:lnTo>
                  <a:pt x="869" y="998"/>
                </a:lnTo>
                <a:lnTo>
                  <a:pt x="877" y="1005"/>
                </a:lnTo>
                <a:lnTo>
                  <a:pt x="899" y="1026"/>
                </a:lnTo>
                <a:lnTo>
                  <a:pt x="646" y="1042"/>
                </a:lnTo>
                <a:lnTo>
                  <a:pt x="646" y="952"/>
                </a:lnTo>
                <a:lnTo>
                  <a:pt x="646" y="952"/>
                </a:lnTo>
                <a:lnTo>
                  <a:pt x="645" y="934"/>
                </a:lnTo>
                <a:lnTo>
                  <a:pt x="645" y="934"/>
                </a:lnTo>
                <a:lnTo>
                  <a:pt x="635" y="943"/>
                </a:lnTo>
                <a:lnTo>
                  <a:pt x="635" y="943"/>
                </a:lnTo>
                <a:lnTo>
                  <a:pt x="619" y="959"/>
                </a:lnTo>
                <a:lnTo>
                  <a:pt x="597" y="978"/>
                </a:lnTo>
                <a:lnTo>
                  <a:pt x="569" y="996"/>
                </a:lnTo>
                <a:lnTo>
                  <a:pt x="538" y="1017"/>
                </a:lnTo>
                <a:lnTo>
                  <a:pt x="519" y="1026"/>
                </a:lnTo>
                <a:lnTo>
                  <a:pt x="501" y="1035"/>
                </a:lnTo>
                <a:lnTo>
                  <a:pt x="481" y="1042"/>
                </a:lnTo>
                <a:lnTo>
                  <a:pt x="459" y="1050"/>
                </a:lnTo>
                <a:lnTo>
                  <a:pt x="435" y="1055"/>
                </a:lnTo>
                <a:lnTo>
                  <a:pt x="409" y="1059"/>
                </a:lnTo>
                <a:lnTo>
                  <a:pt x="383" y="1061"/>
                </a:lnTo>
                <a:lnTo>
                  <a:pt x="356" y="1063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1" name="Freeform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/>
          </xdr:cNvSpPr>
        </xdr:nvSpPr>
        <xdr:spPr bwMode="blackGray">
          <a:xfrm>
            <a:off x="8531624" y="407891"/>
            <a:ext cx="116692" cy="138228"/>
          </a:xfrm>
          <a:custGeom>
            <a:avLst/>
            <a:gdLst>
              <a:gd name="T0" fmla="*/ 356 w 899"/>
              <a:gd name="T1" fmla="*/ 1063 h 1063"/>
              <a:gd name="T2" fmla="*/ 293 w 899"/>
              <a:gd name="T3" fmla="*/ 1057 h 1063"/>
              <a:gd name="T4" fmla="*/ 238 w 899"/>
              <a:gd name="T5" fmla="*/ 1040 h 1063"/>
              <a:gd name="T6" fmla="*/ 190 w 899"/>
              <a:gd name="T7" fmla="*/ 1015 h 1063"/>
              <a:gd name="T8" fmla="*/ 148 w 899"/>
              <a:gd name="T9" fmla="*/ 980 h 1063"/>
              <a:gd name="T10" fmla="*/ 116 w 899"/>
              <a:gd name="T11" fmla="*/ 936 h 1063"/>
              <a:gd name="T12" fmla="*/ 90 w 899"/>
              <a:gd name="T13" fmla="*/ 884 h 1063"/>
              <a:gd name="T14" fmla="*/ 76 w 899"/>
              <a:gd name="T15" fmla="*/ 825 h 1063"/>
              <a:gd name="T16" fmla="*/ 70 w 899"/>
              <a:gd name="T17" fmla="*/ 761 h 1063"/>
              <a:gd name="T18" fmla="*/ 70 w 899"/>
              <a:gd name="T19" fmla="*/ 188 h 1063"/>
              <a:gd name="T20" fmla="*/ 68 w 899"/>
              <a:gd name="T21" fmla="*/ 122 h 1063"/>
              <a:gd name="T22" fmla="*/ 59 w 899"/>
              <a:gd name="T23" fmla="*/ 88 h 1063"/>
              <a:gd name="T24" fmla="*/ 41 w 899"/>
              <a:gd name="T25" fmla="*/ 63 h 1063"/>
              <a:gd name="T26" fmla="*/ 0 w 899"/>
              <a:gd name="T27" fmla="*/ 33 h 1063"/>
              <a:gd name="T28" fmla="*/ 33 w 899"/>
              <a:gd name="T29" fmla="*/ 29 h 1063"/>
              <a:gd name="T30" fmla="*/ 100 w 899"/>
              <a:gd name="T31" fmla="*/ 18 h 1063"/>
              <a:gd name="T32" fmla="*/ 194 w 899"/>
              <a:gd name="T33" fmla="*/ 4 h 1063"/>
              <a:gd name="T34" fmla="*/ 216 w 899"/>
              <a:gd name="T35" fmla="*/ 4 h 1063"/>
              <a:gd name="T36" fmla="*/ 241 w 899"/>
              <a:gd name="T37" fmla="*/ 9 h 1063"/>
              <a:gd name="T38" fmla="*/ 254 w 899"/>
              <a:gd name="T39" fmla="*/ 26 h 1063"/>
              <a:gd name="T40" fmla="*/ 260 w 899"/>
              <a:gd name="T41" fmla="*/ 44 h 1063"/>
              <a:gd name="T42" fmla="*/ 260 w 899"/>
              <a:gd name="T43" fmla="*/ 643 h 1063"/>
              <a:gd name="T44" fmla="*/ 262 w 899"/>
              <a:gd name="T45" fmla="*/ 696 h 1063"/>
              <a:gd name="T46" fmla="*/ 267 w 899"/>
              <a:gd name="T47" fmla="*/ 748 h 1063"/>
              <a:gd name="T48" fmla="*/ 276 w 899"/>
              <a:gd name="T49" fmla="*/ 794 h 1063"/>
              <a:gd name="T50" fmla="*/ 293 w 899"/>
              <a:gd name="T51" fmla="*/ 836 h 1063"/>
              <a:gd name="T52" fmla="*/ 317 w 899"/>
              <a:gd name="T53" fmla="*/ 871 h 1063"/>
              <a:gd name="T54" fmla="*/ 348 w 899"/>
              <a:gd name="T55" fmla="*/ 897 h 1063"/>
              <a:gd name="T56" fmla="*/ 392 w 899"/>
              <a:gd name="T57" fmla="*/ 915 h 1063"/>
              <a:gd name="T58" fmla="*/ 448 w 899"/>
              <a:gd name="T59" fmla="*/ 921 h 1063"/>
              <a:gd name="T60" fmla="*/ 479 w 899"/>
              <a:gd name="T61" fmla="*/ 919 h 1063"/>
              <a:gd name="T62" fmla="*/ 508 w 899"/>
              <a:gd name="T63" fmla="*/ 913 h 1063"/>
              <a:gd name="T64" fmla="*/ 532 w 899"/>
              <a:gd name="T65" fmla="*/ 902 h 1063"/>
              <a:gd name="T66" fmla="*/ 554 w 899"/>
              <a:gd name="T67" fmla="*/ 889 h 1063"/>
              <a:gd name="T68" fmla="*/ 589 w 899"/>
              <a:gd name="T69" fmla="*/ 854 h 1063"/>
              <a:gd name="T70" fmla="*/ 613 w 899"/>
              <a:gd name="T71" fmla="*/ 808 h 1063"/>
              <a:gd name="T72" fmla="*/ 630 w 899"/>
              <a:gd name="T73" fmla="*/ 755 h 1063"/>
              <a:gd name="T74" fmla="*/ 639 w 899"/>
              <a:gd name="T75" fmla="*/ 696 h 1063"/>
              <a:gd name="T76" fmla="*/ 643 w 899"/>
              <a:gd name="T77" fmla="*/ 633 h 1063"/>
              <a:gd name="T78" fmla="*/ 645 w 899"/>
              <a:gd name="T79" fmla="*/ 197 h 1063"/>
              <a:gd name="T80" fmla="*/ 643 w 899"/>
              <a:gd name="T81" fmla="*/ 149 h 1063"/>
              <a:gd name="T82" fmla="*/ 637 w 899"/>
              <a:gd name="T83" fmla="*/ 112 h 1063"/>
              <a:gd name="T84" fmla="*/ 624 w 899"/>
              <a:gd name="T85" fmla="*/ 83 h 1063"/>
              <a:gd name="T86" fmla="*/ 600 w 899"/>
              <a:gd name="T87" fmla="*/ 61 h 1063"/>
              <a:gd name="T88" fmla="*/ 834 w 899"/>
              <a:gd name="T89" fmla="*/ 0 h 1063"/>
              <a:gd name="T90" fmla="*/ 834 w 899"/>
              <a:gd name="T91" fmla="*/ 799 h 1063"/>
              <a:gd name="T92" fmla="*/ 836 w 899"/>
              <a:gd name="T93" fmla="*/ 891 h 1063"/>
              <a:gd name="T94" fmla="*/ 845 w 899"/>
              <a:gd name="T95" fmla="*/ 947 h 1063"/>
              <a:gd name="T96" fmla="*/ 856 w 899"/>
              <a:gd name="T97" fmla="*/ 980 h 1063"/>
              <a:gd name="T98" fmla="*/ 869 w 899"/>
              <a:gd name="T99" fmla="*/ 998 h 1063"/>
              <a:gd name="T100" fmla="*/ 899 w 899"/>
              <a:gd name="T101" fmla="*/ 1026 h 1063"/>
              <a:gd name="T102" fmla="*/ 646 w 899"/>
              <a:gd name="T103" fmla="*/ 952 h 1063"/>
              <a:gd name="T104" fmla="*/ 645 w 899"/>
              <a:gd name="T105" fmla="*/ 934 h 1063"/>
              <a:gd name="T106" fmla="*/ 635 w 899"/>
              <a:gd name="T107" fmla="*/ 943 h 1063"/>
              <a:gd name="T108" fmla="*/ 619 w 899"/>
              <a:gd name="T109" fmla="*/ 959 h 1063"/>
              <a:gd name="T110" fmla="*/ 569 w 899"/>
              <a:gd name="T111" fmla="*/ 996 h 1063"/>
              <a:gd name="T112" fmla="*/ 519 w 899"/>
              <a:gd name="T113" fmla="*/ 1026 h 1063"/>
              <a:gd name="T114" fmla="*/ 481 w 899"/>
              <a:gd name="T115" fmla="*/ 1042 h 1063"/>
              <a:gd name="T116" fmla="*/ 435 w 899"/>
              <a:gd name="T117" fmla="*/ 1055 h 1063"/>
              <a:gd name="T118" fmla="*/ 383 w 899"/>
              <a:gd name="T119" fmla="*/ 1061 h 10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99" h="1063">
                <a:moveTo>
                  <a:pt x="356" y="1063"/>
                </a:moveTo>
                <a:lnTo>
                  <a:pt x="356" y="1063"/>
                </a:lnTo>
                <a:lnTo>
                  <a:pt x="324" y="1061"/>
                </a:lnTo>
                <a:lnTo>
                  <a:pt x="293" y="1057"/>
                </a:lnTo>
                <a:lnTo>
                  <a:pt x="265" y="1050"/>
                </a:lnTo>
                <a:lnTo>
                  <a:pt x="238" y="1040"/>
                </a:lnTo>
                <a:lnTo>
                  <a:pt x="214" y="1029"/>
                </a:lnTo>
                <a:lnTo>
                  <a:pt x="190" y="1015"/>
                </a:lnTo>
                <a:lnTo>
                  <a:pt x="168" y="998"/>
                </a:lnTo>
                <a:lnTo>
                  <a:pt x="148" y="980"/>
                </a:lnTo>
                <a:lnTo>
                  <a:pt x="131" y="959"/>
                </a:lnTo>
                <a:lnTo>
                  <a:pt x="116" y="936"/>
                </a:lnTo>
                <a:lnTo>
                  <a:pt x="102" y="912"/>
                </a:lnTo>
                <a:lnTo>
                  <a:pt x="90" y="884"/>
                </a:lnTo>
                <a:lnTo>
                  <a:pt x="83" y="856"/>
                </a:lnTo>
                <a:lnTo>
                  <a:pt x="76" y="825"/>
                </a:lnTo>
                <a:lnTo>
                  <a:pt x="72" y="794"/>
                </a:lnTo>
                <a:lnTo>
                  <a:pt x="70" y="761"/>
                </a:lnTo>
                <a:lnTo>
                  <a:pt x="70" y="188"/>
                </a:lnTo>
                <a:lnTo>
                  <a:pt x="70" y="188"/>
                </a:lnTo>
                <a:lnTo>
                  <a:pt x="70" y="140"/>
                </a:lnTo>
                <a:lnTo>
                  <a:pt x="68" y="122"/>
                </a:lnTo>
                <a:lnTo>
                  <a:pt x="65" y="103"/>
                </a:lnTo>
                <a:lnTo>
                  <a:pt x="59" y="88"/>
                </a:lnTo>
                <a:lnTo>
                  <a:pt x="52" y="74"/>
                </a:lnTo>
                <a:lnTo>
                  <a:pt x="41" y="63"/>
                </a:lnTo>
                <a:lnTo>
                  <a:pt x="28" y="52"/>
                </a:lnTo>
                <a:lnTo>
                  <a:pt x="0" y="33"/>
                </a:lnTo>
                <a:lnTo>
                  <a:pt x="33" y="29"/>
                </a:lnTo>
                <a:lnTo>
                  <a:pt x="33" y="29"/>
                </a:lnTo>
                <a:lnTo>
                  <a:pt x="100" y="18"/>
                </a:lnTo>
                <a:lnTo>
                  <a:pt x="100" y="18"/>
                </a:lnTo>
                <a:lnTo>
                  <a:pt x="168" y="7"/>
                </a:lnTo>
                <a:lnTo>
                  <a:pt x="194" y="4"/>
                </a:lnTo>
                <a:lnTo>
                  <a:pt x="216" y="4"/>
                </a:lnTo>
                <a:lnTo>
                  <a:pt x="216" y="4"/>
                </a:lnTo>
                <a:lnTo>
                  <a:pt x="230" y="4"/>
                </a:lnTo>
                <a:lnTo>
                  <a:pt x="241" y="9"/>
                </a:lnTo>
                <a:lnTo>
                  <a:pt x="249" y="17"/>
                </a:lnTo>
                <a:lnTo>
                  <a:pt x="254" y="26"/>
                </a:lnTo>
                <a:lnTo>
                  <a:pt x="258" y="35"/>
                </a:lnTo>
                <a:lnTo>
                  <a:pt x="260" y="44"/>
                </a:lnTo>
                <a:lnTo>
                  <a:pt x="260" y="63"/>
                </a:lnTo>
                <a:lnTo>
                  <a:pt x="260" y="643"/>
                </a:lnTo>
                <a:lnTo>
                  <a:pt x="260" y="643"/>
                </a:lnTo>
                <a:lnTo>
                  <a:pt x="262" y="696"/>
                </a:lnTo>
                <a:lnTo>
                  <a:pt x="264" y="722"/>
                </a:lnTo>
                <a:lnTo>
                  <a:pt x="267" y="748"/>
                </a:lnTo>
                <a:lnTo>
                  <a:pt x="271" y="772"/>
                </a:lnTo>
                <a:lnTo>
                  <a:pt x="276" y="794"/>
                </a:lnTo>
                <a:lnTo>
                  <a:pt x="284" y="816"/>
                </a:lnTo>
                <a:lnTo>
                  <a:pt x="293" y="836"/>
                </a:lnTo>
                <a:lnTo>
                  <a:pt x="304" y="854"/>
                </a:lnTo>
                <a:lnTo>
                  <a:pt x="317" y="871"/>
                </a:lnTo>
                <a:lnTo>
                  <a:pt x="332" y="886"/>
                </a:lnTo>
                <a:lnTo>
                  <a:pt x="348" y="897"/>
                </a:lnTo>
                <a:lnTo>
                  <a:pt x="368" y="908"/>
                </a:lnTo>
                <a:lnTo>
                  <a:pt x="392" y="915"/>
                </a:lnTo>
                <a:lnTo>
                  <a:pt x="418" y="919"/>
                </a:lnTo>
                <a:lnTo>
                  <a:pt x="448" y="921"/>
                </a:lnTo>
                <a:lnTo>
                  <a:pt x="448" y="921"/>
                </a:lnTo>
                <a:lnTo>
                  <a:pt x="479" y="919"/>
                </a:lnTo>
                <a:lnTo>
                  <a:pt x="494" y="915"/>
                </a:lnTo>
                <a:lnTo>
                  <a:pt x="508" y="913"/>
                </a:lnTo>
                <a:lnTo>
                  <a:pt x="521" y="908"/>
                </a:lnTo>
                <a:lnTo>
                  <a:pt x="532" y="902"/>
                </a:lnTo>
                <a:lnTo>
                  <a:pt x="543" y="897"/>
                </a:lnTo>
                <a:lnTo>
                  <a:pt x="554" y="889"/>
                </a:lnTo>
                <a:lnTo>
                  <a:pt x="573" y="873"/>
                </a:lnTo>
                <a:lnTo>
                  <a:pt x="589" y="854"/>
                </a:lnTo>
                <a:lnTo>
                  <a:pt x="602" y="832"/>
                </a:lnTo>
                <a:lnTo>
                  <a:pt x="613" y="808"/>
                </a:lnTo>
                <a:lnTo>
                  <a:pt x="622" y="783"/>
                </a:lnTo>
                <a:lnTo>
                  <a:pt x="630" y="755"/>
                </a:lnTo>
                <a:lnTo>
                  <a:pt x="635" y="726"/>
                </a:lnTo>
                <a:lnTo>
                  <a:pt x="639" y="696"/>
                </a:lnTo>
                <a:lnTo>
                  <a:pt x="641" y="665"/>
                </a:lnTo>
                <a:lnTo>
                  <a:pt x="643" y="633"/>
                </a:lnTo>
                <a:lnTo>
                  <a:pt x="645" y="569"/>
                </a:lnTo>
                <a:lnTo>
                  <a:pt x="645" y="197"/>
                </a:lnTo>
                <a:lnTo>
                  <a:pt x="645" y="197"/>
                </a:lnTo>
                <a:lnTo>
                  <a:pt x="643" y="149"/>
                </a:lnTo>
                <a:lnTo>
                  <a:pt x="641" y="129"/>
                </a:lnTo>
                <a:lnTo>
                  <a:pt x="637" y="112"/>
                </a:lnTo>
                <a:lnTo>
                  <a:pt x="634" y="96"/>
                </a:lnTo>
                <a:lnTo>
                  <a:pt x="624" y="83"/>
                </a:lnTo>
                <a:lnTo>
                  <a:pt x="615" y="72"/>
                </a:lnTo>
                <a:lnTo>
                  <a:pt x="600" y="61"/>
                </a:lnTo>
                <a:lnTo>
                  <a:pt x="575" y="42"/>
                </a:lnTo>
                <a:lnTo>
                  <a:pt x="834" y="0"/>
                </a:lnTo>
                <a:lnTo>
                  <a:pt x="834" y="799"/>
                </a:lnTo>
                <a:lnTo>
                  <a:pt x="834" y="799"/>
                </a:lnTo>
                <a:lnTo>
                  <a:pt x="834" y="862"/>
                </a:lnTo>
                <a:lnTo>
                  <a:pt x="836" y="891"/>
                </a:lnTo>
                <a:lnTo>
                  <a:pt x="840" y="921"/>
                </a:lnTo>
                <a:lnTo>
                  <a:pt x="845" y="947"/>
                </a:lnTo>
                <a:lnTo>
                  <a:pt x="853" y="969"/>
                </a:lnTo>
                <a:lnTo>
                  <a:pt x="856" y="980"/>
                </a:lnTo>
                <a:lnTo>
                  <a:pt x="864" y="989"/>
                </a:lnTo>
                <a:lnTo>
                  <a:pt x="869" y="998"/>
                </a:lnTo>
                <a:lnTo>
                  <a:pt x="877" y="1005"/>
                </a:lnTo>
                <a:lnTo>
                  <a:pt x="899" y="1026"/>
                </a:lnTo>
                <a:lnTo>
                  <a:pt x="646" y="1042"/>
                </a:lnTo>
                <a:lnTo>
                  <a:pt x="646" y="952"/>
                </a:lnTo>
                <a:lnTo>
                  <a:pt x="646" y="952"/>
                </a:lnTo>
                <a:lnTo>
                  <a:pt x="645" y="934"/>
                </a:lnTo>
                <a:lnTo>
                  <a:pt x="645" y="934"/>
                </a:lnTo>
                <a:lnTo>
                  <a:pt x="635" y="943"/>
                </a:lnTo>
                <a:lnTo>
                  <a:pt x="635" y="943"/>
                </a:lnTo>
                <a:lnTo>
                  <a:pt x="619" y="959"/>
                </a:lnTo>
                <a:lnTo>
                  <a:pt x="597" y="978"/>
                </a:lnTo>
                <a:lnTo>
                  <a:pt x="569" y="996"/>
                </a:lnTo>
                <a:lnTo>
                  <a:pt x="538" y="1017"/>
                </a:lnTo>
                <a:lnTo>
                  <a:pt x="519" y="1026"/>
                </a:lnTo>
                <a:lnTo>
                  <a:pt x="501" y="1035"/>
                </a:lnTo>
                <a:lnTo>
                  <a:pt x="481" y="1042"/>
                </a:lnTo>
                <a:lnTo>
                  <a:pt x="459" y="1050"/>
                </a:lnTo>
                <a:lnTo>
                  <a:pt x="435" y="1055"/>
                </a:lnTo>
                <a:lnTo>
                  <a:pt x="409" y="1059"/>
                </a:lnTo>
                <a:lnTo>
                  <a:pt x="383" y="1061"/>
                </a:lnTo>
                <a:lnTo>
                  <a:pt x="356" y="1063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2" name="Freeform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EditPoints="1"/>
          </xdr:cNvSpPr>
        </xdr:nvSpPr>
        <xdr:spPr bwMode="blackGray">
          <a:xfrm>
            <a:off x="8656896" y="408750"/>
            <a:ext cx="107254" cy="137369"/>
          </a:xfrm>
          <a:custGeom>
            <a:avLst/>
            <a:gdLst>
              <a:gd name="T0" fmla="*/ 226 w 823"/>
              <a:gd name="T1" fmla="*/ 1053 h 1059"/>
              <a:gd name="T2" fmla="*/ 120 w 823"/>
              <a:gd name="T3" fmla="*/ 1018 h 1059"/>
              <a:gd name="T4" fmla="*/ 44 w 823"/>
              <a:gd name="T5" fmla="*/ 954 h 1059"/>
              <a:gd name="T6" fmla="*/ 6 w 823"/>
              <a:gd name="T7" fmla="*/ 860 h 1059"/>
              <a:gd name="T8" fmla="*/ 0 w 823"/>
              <a:gd name="T9" fmla="*/ 790 h 1059"/>
              <a:gd name="T10" fmla="*/ 31 w 823"/>
              <a:gd name="T11" fmla="*/ 694 h 1059"/>
              <a:gd name="T12" fmla="*/ 114 w 823"/>
              <a:gd name="T13" fmla="*/ 607 h 1059"/>
              <a:gd name="T14" fmla="*/ 225 w 823"/>
              <a:gd name="T15" fmla="*/ 541 h 1059"/>
              <a:gd name="T16" fmla="*/ 409 w 823"/>
              <a:gd name="T17" fmla="*/ 458 h 1059"/>
              <a:gd name="T18" fmla="*/ 497 w 823"/>
              <a:gd name="T19" fmla="*/ 418 h 1059"/>
              <a:gd name="T20" fmla="*/ 541 w 823"/>
              <a:gd name="T21" fmla="*/ 377 h 1059"/>
              <a:gd name="T22" fmla="*/ 558 w 823"/>
              <a:gd name="T23" fmla="*/ 307 h 1059"/>
              <a:gd name="T24" fmla="*/ 558 w 823"/>
              <a:gd name="T25" fmla="*/ 224 h 1059"/>
              <a:gd name="T26" fmla="*/ 538 w 823"/>
              <a:gd name="T27" fmla="*/ 158 h 1059"/>
              <a:gd name="T28" fmla="*/ 497 w 823"/>
              <a:gd name="T29" fmla="*/ 114 h 1059"/>
              <a:gd name="T30" fmla="*/ 436 w 823"/>
              <a:gd name="T31" fmla="*/ 92 h 1059"/>
              <a:gd name="T32" fmla="*/ 379 w 823"/>
              <a:gd name="T33" fmla="*/ 90 h 1059"/>
              <a:gd name="T34" fmla="*/ 319 w 823"/>
              <a:gd name="T35" fmla="*/ 103 h 1059"/>
              <a:gd name="T36" fmla="*/ 274 w 823"/>
              <a:gd name="T37" fmla="*/ 140 h 1059"/>
              <a:gd name="T38" fmla="*/ 243 w 823"/>
              <a:gd name="T39" fmla="*/ 200 h 1059"/>
              <a:gd name="T40" fmla="*/ 191 w 823"/>
              <a:gd name="T41" fmla="*/ 278 h 1059"/>
              <a:gd name="T42" fmla="*/ 153 w 823"/>
              <a:gd name="T43" fmla="*/ 294 h 1059"/>
              <a:gd name="T44" fmla="*/ 107 w 823"/>
              <a:gd name="T45" fmla="*/ 294 h 1059"/>
              <a:gd name="T46" fmla="*/ 48 w 823"/>
              <a:gd name="T47" fmla="*/ 261 h 1059"/>
              <a:gd name="T48" fmla="*/ 33 w 823"/>
              <a:gd name="T49" fmla="*/ 208 h 1059"/>
              <a:gd name="T50" fmla="*/ 42 w 823"/>
              <a:gd name="T51" fmla="*/ 158 h 1059"/>
              <a:gd name="T52" fmla="*/ 87 w 823"/>
              <a:gd name="T53" fmla="*/ 95 h 1059"/>
              <a:gd name="T54" fmla="*/ 191 w 823"/>
              <a:gd name="T55" fmla="*/ 36 h 1059"/>
              <a:gd name="T56" fmla="*/ 330 w 823"/>
              <a:gd name="T57" fmla="*/ 5 h 1059"/>
              <a:gd name="T58" fmla="*/ 444 w 823"/>
              <a:gd name="T59" fmla="*/ 0 h 1059"/>
              <a:gd name="T60" fmla="*/ 578 w 823"/>
              <a:gd name="T61" fmla="*/ 11 h 1059"/>
              <a:gd name="T62" fmla="*/ 674 w 823"/>
              <a:gd name="T63" fmla="*/ 46 h 1059"/>
              <a:gd name="T64" fmla="*/ 731 w 823"/>
              <a:gd name="T65" fmla="*/ 105 h 1059"/>
              <a:gd name="T66" fmla="*/ 749 w 823"/>
              <a:gd name="T67" fmla="*/ 188 h 1059"/>
              <a:gd name="T68" fmla="*/ 753 w 823"/>
              <a:gd name="T69" fmla="*/ 821 h 1059"/>
              <a:gd name="T70" fmla="*/ 775 w 823"/>
              <a:gd name="T71" fmla="*/ 939 h 1059"/>
              <a:gd name="T72" fmla="*/ 810 w 823"/>
              <a:gd name="T73" fmla="*/ 1003 h 1059"/>
              <a:gd name="T74" fmla="*/ 587 w 823"/>
              <a:gd name="T75" fmla="*/ 1027 h 1059"/>
              <a:gd name="T76" fmla="*/ 567 w 823"/>
              <a:gd name="T77" fmla="*/ 920 h 1059"/>
              <a:gd name="T78" fmla="*/ 560 w 823"/>
              <a:gd name="T79" fmla="*/ 904 h 1059"/>
              <a:gd name="T80" fmla="*/ 492 w 823"/>
              <a:gd name="T81" fmla="*/ 990 h 1059"/>
              <a:gd name="T82" fmla="*/ 431 w 823"/>
              <a:gd name="T83" fmla="*/ 1031 h 1059"/>
              <a:gd name="T84" fmla="*/ 344 w 823"/>
              <a:gd name="T85" fmla="*/ 1055 h 1059"/>
              <a:gd name="T86" fmla="*/ 457 w 823"/>
              <a:gd name="T87" fmla="*/ 536 h 1059"/>
              <a:gd name="T88" fmla="*/ 307 w 823"/>
              <a:gd name="T89" fmla="*/ 615 h 1059"/>
              <a:gd name="T90" fmla="*/ 247 w 823"/>
              <a:gd name="T91" fmla="*/ 666 h 1059"/>
              <a:gd name="T92" fmla="*/ 215 w 823"/>
              <a:gd name="T93" fmla="*/ 731 h 1059"/>
              <a:gd name="T94" fmla="*/ 214 w 823"/>
              <a:gd name="T95" fmla="*/ 788 h 1059"/>
              <a:gd name="T96" fmla="*/ 228 w 823"/>
              <a:gd name="T97" fmla="*/ 843 h 1059"/>
              <a:gd name="T98" fmla="*/ 265 w 823"/>
              <a:gd name="T99" fmla="*/ 884 h 1059"/>
              <a:gd name="T100" fmla="*/ 319 w 823"/>
              <a:gd name="T101" fmla="*/ 908 h 1059"/>
              <a:gd name="T102" fmla="*/ 372 w 823"/>
              <a:gd name="T103" fmla="*/ 913 h 1059"/>
              <a:gd name="T104" fmla="*/ 457 w 823"/>
              <a:gd name="T105" fmla="*/ 893 h 1059"/>
              <a:gd name="T106" fmla="*/ 514 w 823"/>
              <a:gd name="T107" fmla="*/ 841 h 1059"/>
              <a:gd name="T108" fmla="*/ 549 w 823"/>
              <a:gd name="T109" fmla="*/ 768 h 1059"/>
              <a:gd name="T110" fmla="*/ 560 w 823"/>
              <a:gd name="T111" fmla="*/ 685 h 10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823" h="1059">
                <a:moveTo>
                  <a:pt x="289" y="1059"/>
                </a:moveTo>
                <a:lnTo>
                  <a:pt x="289" y="1059"/>
                </a:lnTo>
                <a:lnTo>
                  <a:pt x="256" y="1057"/>
                </a:lnTo>
                <a:lnTo>
                  <a:pt x="226" y="1053"/>
                </a:lnTo>
                <a:lnTo>
                  <a:pt x="197" y="1048"/>
                </a:lnTo>
                <a:lnTo>
                  <a:pt x="169" y="1040"/>
                </a:lnTo>
                <a:lnTo>
                  <a:pt x="144" y="1031"/>
                </a:lnTo>
                <a:lnTo>
                  <a:pt x="120" y="1018"/>
                </a:lnTo>
                <a:lnTo>
                  <a:pt x="98" y="1005"/>
                </a:lnTo>
                <a:lnTo>
                  <a:pt x="79" y="990"/>
                </a:lnTo>
                <a:lnTo>
                  <a:pt x="61" y="972"/>
                </a:lnTo>
                <a:lnTo>
                  <a:pt x="44" y="954"/>
                </a:lnTo>
                <a:lnTo>
                  <a:pt x="31" y="932"/>
                </a:lnTo>
                <a:lnTo>
                  <a:pt x="20" y="909"/>
                </a:lnTo>
                <a:lnTo>
                  <a:pt x="11" y="885"/>
                </a:lnTo>
                <a:lnTo>
                  <a:pt x="6" y="860"/>
                </a:lnTo>
                <a:lnTo>
                  <a:pt x="2" y="834"/>
                </a:lnTo>
                <a:lnTo>
                  <a:pt x="0" y="806"/>
                </a:lnTo>
                <a:lnTo>
                  <a:pt x="0" y="806"/>
                </a:lnTo>
                <a:lnTo>
                  <a:pt x="0" y="790"/>
                </a:lnTo>
                <a:lnTo>
                  <a:pt x="2" y="775"/>
                </a:lnTo>
                <a:lnTo>
                  <a:pt x="7" y="746"/>
                </a:lnTo>
                <a:lnTo>
                  <a:pt x="18" y="718"/>
                </a:lnTo>
                <a:lnTo>
                  <a:pt x="31" y="694"/>
                </a:lnTo>
                <a:lnTo>
                  <a:pt x="48" y="670"/>
                </a:lnTo>
                <a:lnTo>
                  <a:pt x="68" y="648"/>
                </a:lnTo>
                <a:lnTo>
                  <a:pt x="90" y="628"/>
                </a:lnTo>
                <a:lnTo>
                  <a:pt x="114" y="607"/>
                </a:lnTo>
                <a:lnTo>
                  <a:pt x="140" y="589"/>
                </a:lnTo>
                <a:lnTo>
                  <a:pt x="166" y="572"/>
                </a:lnTo>
                <a:lnTo>
                  <a:pt x="195" y="558"/>
                </a:lnTo>
                <a:lnTo>
                  <a:pt x="225" y="541"/>
                </a:lnTo>
                <a:lnTo>
                  <a:pt x="284" y="513"/>
                </a:lnTo>
                <a:lnTo>
                  <a:pt x="341" y="488"/>
                </a:lnTo>
                <a:lnTo>
                  <a:pt x="341" y="488"/>
                </a:lnTo>
                <a:lnTo>
                  <a:pt x="409" y="458"/>
                </a:lnTo>
                <a:lnTo>
                  <a:pt x="433" y="447"/>
                </a:lnTo>
                <a:lnTo>
                  <a:pt x="433" y="447"/>
                </a:lnTo>
                <a:lnTo>
                  <a:pt x="468" y="432"/>
                </a:lnTo>
                <a:lnTo>
                  <a:pt x="497" y="418"/>
                </a:lnTo>
                <a:lnTo>
                  <a:pt x="519" y="403"/>
                </a:lnTo>
                <a:lnTo>
                  <a:pt x="528" y="394"/>
                </a:lnTo>
                <a:lnTo>
                  <a:pt x="536" y="386"/>
                </a:lnTo>
                <a:lnTo>
                  <a:pt x="541" y="377"/>
                </a:lnTo>
                <a:lnTo>
                  <a:pt x="547" y="366"/>
                </a:lnTo>
                <a:lnTo>
                  <a:pt x="552" y="353"/>
                </a:lnTo>
                <a:lnTo>
                  <a:pt x="554" y="340"/>
                </a:lnTo>
                <a:lnTo>
                  <a:pt x="558" y="307"/>
                </a:lnTo>
                <a:lnTo>
                  <a:pt x="560" y="267"/>
                </a:lnTo>
                <a:lnTo>
                  <a:pt x="560" y="267"/>
                </a:lnTo>
                <a:lnTo>
                  <a:pt x="560" y="245"/>
                </a:lnTo>
                <a:lnTo>
                  <a:pt x="558" y="224"/>
                </a:lnTo>
                <a:lnTo>
                  <a:pt x="554" y="206"/>
                </a:lnTo>
                <a:lnTo>
                  <a:pt x="550" y="188"/>
                </a:lnTo>
                <a:lnTo>
                  <a:pt x="545" y="173"/>
                </a:lnTo>
                <a:lnTo>
                  <a:pt x="538" y="158"/>
                </a:lnTo>
                <a:lnTo>
                  <a:pt x="528" y="145"/>
                </a:lnTo>
                <a:lnTo>
                  <a:pt x="519" y="132"/>
                </a:lnTo>
                <a:lnTo>
                  <a:pt x="508" y="123"/>
                </a:lnTo>
                <a:lnTo>
                  <a:pt x="497" y="114"/>
                </a:lnTo>
                <a:lnTo>
                  <a:pt x="484" y="106"/>
                </a:lnTo>
                <a:lnTo>
                  <a:pt x="469" y="99"/>
                </a:lnTo>
                <a:lnTo>
                  <a:pt x="453" y="95"/>
                </a:lnTo>
                <a:lnTo>
                  <a:pt x="436" y="92"/>
                </a:lnTo>
                <a:lnTo>
                  <a:pt x="418" y="90"/>
                </a:lnTo>
                <a:lnTo>
                  <a:pt x="398" y="88"/>
                </a:lnTo>
                <a:lnTo>
                  <a:pt x="398" y="88"/>
                </a:lnTo>
                <a:lnTo>
                  <a:pt x="379" y="90"/>
                </a:lnTo>
                <a:lnTo>
                  <a:pt x="361" y="92"/>
                </a:lnTo>
                <a:lnTo>
                  <a:pt x="346" y="94"/>
                </a:lnTo>
                <a:lnTo>
                  <a:pt x="331" y="99"/>
                </a:lnTo>
                <a:lnTo>
                  <a:pt x="319" y="103"/>
                </a:lnTo>
                <a:lnTo>
                  <a:pt x="307" y="110"/>
                </a:lnTo>
                <a:lnTo>
                  <a:pt x="298" y="116"/>
                </a:lnTo>
                <a:lnTo>
                  <a:pt x="289" y="123"/>
                </a:lnTo>
                <a:lnTo>
                  <a:pt x="274" y="140"/>
                </a:lnTo>
                <a:lnTo>
                  <a:pt x="261" y="160"/>
                </a:lnTo>
                <a:lnTo>
                  <a:pt x="252" y="180"/>
                </a:lnTo>
                <a:lnTo>
                  <a:pt x="243" y="200"/>
                </a:lnTo>
                <a:lnTo>
                  <a:pt x="243" y="200"/>
                </a:lnTo>
                <a:lnTo>
                  <a:pt x="226" y="235"/>
                </a:lnTo>
                <a:lnTo>
                  <a:pt x="217" y="252"/>
                </a:lnTo>
                <a:lnTo>
                  <a:pt x="206" y="265"/>
                </a:lnTo>
                <a:lnTo>
                  <a:pt x="191" y="278"/>
                </a:lnTo>
                <a:lnTo>
                  <a:pt x="184" y="283"/>
                </a:lnTo>
                <a:lnTo>
                  <a:pt x="175" y="287"/>
                </a:lnTo>
                <a:lnTo>
                  <a:pt x="164" y="291"/>
                </a:lnTo>
                <a:lnTo>
                  <a:pt x="153" y="294"/>
                </a:lnTo>
                <a:lnTo>
                  <a:pt x="142" y="296"/>
                </a:lnTo>
                <a:lnTo>
                  <a:pt x="129" y="296"/>
                </a:lnTo>
                <a:lnTo>
                  <a:pt x="129" y="296"/>
                </a:lnTo>
                <a:lnTo>
                  <a:pt x="107" y="294"/>
                </a:lnTo>
                <a:lnTo>
                  <a:pt x="88" y="291"/>
                </a:lnTo>
                <a:lnTo>
                  <a:pt x="72" y="283"/>
                </a:lnTo>
                <a:lnTo>
                  <a:pt x="59" y="272"/>
                </a:lnTo>
                <a:lnTo>
                  <a:pt x="48" y="261"/>
                </a:lnTo>
                <a:lnTo>
                  <a:pt x="41" y="245"/>
                </a:lnTo>
                <a:lnTo>
                  <a:pt x="35" y="228"/>
                </a:lnTo>
                <a:lnTo>
                  <a:pt x="33" y="208"/>
                </a:lnTo>
                <a:lnTo>
                  <a:pt x="33" y="208"/>
                </a:lnTo>
                <a:lnTo>
                  <a:pt x="33" y="195"/>
                </a:lnTo>
                <a:lnTo>
                  <a:pt x="35" y="182"/>
                </a:lnTo>
                <a:lnTo>
                  <a:pt x="39" y="169"/>
                </a:lnTo>
                <a:lnTo>
                  <a:pt x="42" y="158"/>
                </a:lnTo>
                <a:lnTo>
                  <a:pt x="48" y="147"/>
                </a:lnTo>
                <a:lnTo>
                  <a:pt x="53" y="136"/>
                </a:lnTo>
                <a:lnTo>
                  <a:pt x="68" y="114"/>
                </a:lnTo>
                <a:lnTo>
                  <a:pt x="87" y="95"/>
                </a:lnTo>
                <a:lnTo>
                  <a:pt x="109" y="79"/>
                </a:lnTo>
                <a:lnTo>
                  <a:pt x="134" y="62"/>
                </a:lnTo>
                <a:lnTo>
                  <a:pt x="162" y="49"/>
                </a:lnTo>
                <a:lnTo>
                  <a:pt x="191" y="36"/>
                </a:lnTo>
                <a:lnTo>
                  <a:pt x="225" y="27"/>
                </a:lnTo>
                <a:lnTo>
                  <a:pt x="258" y="18"/>
                </a:lnTo>
                <a:lnTo>
                  <a:pt x="293" y="11"/>
                </a:lnTo>
                <a:lnTo>
                  <a:pt x="330" y="5"/>
                </a:lnTo>
                <a:lnTo>
                  <a:pt x="366" y="2"/>
                </a:lnTo>
                <a:lnTo>
                  <a:pt x="405" y="0"/>
                </a:lnTo>
                <a:lnTo>
                  <a:pt x="444" y="0"/>
                </a:lnTo>
                <a:lnTo>
                  <a:pt x="444" y="0"/>
                </a:lnTo>
                <a:lnTo>
                  <a:pt x="481" y="0"/>
                </a:lnTo>
                <a:lnTo>
                  <a:pt x="515" y="2"/>
                </a:lnTo>
                <a:lnTo>
                  <a:pt x="549" y="5"/>
                </a:lnTo>
                <a:lnTo>
                  <a:pt x="578" y="11"/>
                </a:lnTo>
                <a:lnTo>
                  <a:pt x="606" y="16"/>
                </a:lnTo>
                <a:lnTo>
                  <a:pt x="631" y="25"/>
                </a:lnTo>
                <a:lnTo>
                  <a:pt x="654" y="35"/>
                </a:lnTo>
                <a:lnTo>
                  <a:pt x="674" y="46"/>
                </a:lnTo>
                <a:lnTo>
                  <a:pt x="692" y="59"/>
                </a:lnTo>
                <a:lnTo>
                  <a:pt x="707" y="71"/>
                </a:lnTo>
                <a:lnTo>
                  <a:pt x="720" y="86"/>
                </a:lnTo>
                <a:lnTo>
                  <a:pt x="731" y="105"/>
                </a:lnTo>
                <a:lnTo>
                  <a:pt x="738" y="123"/>
                </a:lnTo>
                <a:lnTo>
                  <a:pt x="746" y="141"/>
                </a:lnTo>
                <a:lnTo>
                  <a:pt x="749" y="164"/>
                </a:lnTo>
                <a:lnTo>
                  <a:pt x="749" y="188"/>
                </a:lnTo>
                <a:lnTo>
                  <a:pt x="749" y="694"/>
                </a:lnTo>
                <a:lnTo>
                  <a:pt x="749" y="694"/>
                </a:lnTo>
                <a:lnTo>
                  <a:pt x="749" y="779"/>
                </a:lnTo>
                <a:lnTo>
                  <a:pt x="753" y="821"/>
                </a:lnTo>
                <a:lnTo>
                  <a:pt x="757" y="862"/>
                </a:lnTo>
                <a:lnTo>
                  <a:pt x="764" y="902"/>
                </a:lnTo>
                <a:lnTo>
                  <a:pt x="768" y="920"/>
                </a:lnTo>
                <a:lnTo>
                  <a:pt x="775" y="939"/>
                </a:lnTo>
                <a:lnTo>
                  <a:pt x="781" y="955"/>
                </a:lnTo>
                <a:lnTo>
                  <a:pt x="790" y="972"/>
                </a:lnTo>
                <a:lnTo>
                  <a:pt x="799" y="989"/>
                </a:lnTo>
                <a:lnTo>
                  <a:pt x="810" y="1003"/>
                </a:lnTo>
                <a:lnTo>
                  <a:pt x="823" y="1022"/>
                </a:lnTo>
                <a:lnTo>
                  <a:pt x="589" y="1036"/>
                </a:lnTo>
                <a:lnTo>
                  <a:pt x="587" y="1027"/>
                </a:lnTo>
                <a:lnTo>
                  <a:pt x="587" y="1027"/>
                </a:lnTo>
                <a:lnTo>
                  <a:pt x="578" y="983"/>
                </a:lnTo>
                <a:lnTo>
                  <a:pt x="571" y="946"/>
                </a:lnTo>
                <a:lnTo>
                  <a:pt x="571" y="946"/>
                </a:lnTo>
                <a:lnTo>
                  <a:pt x="567" y="920"/>
                </a:lnTo>
                <a:lnTo>
                  <a:pt x="563" y="909"/>
                </a:lnTo>
                <a:lnTo>
                  <a:pt x="562" y="902"/>
                </a:lnTo>
                <a:lnTo>
                  <a:pt x="562" y="902"/>
                </a:lnTo>
                <a:lnTo>
                  <a:pt x="560" y="904"/>
                </a:lnTo>
                <a:lnTo>
                  <a:pt x="560" y="904"/>
                </a:lnTo>
                <a:lnTo>
                  <a:pt x="538" y="935"/>
                </a:lnTo>
                <a:lnTo>
                  <a:pt x="515" y="963"/>
                </a:lnTo>
                <a:lnTo>
                  <a:pt x="492" y="990"/>
                </a:lnTo>
                <a:lnTo>
                  <a:pt x="477" y="1001"/>
                </a:lnTo>
                <a:lnTo>
                  <a:pt x="462" y="1013"/>
                </a:lnTo>
                <a:lnTo>
                  <a:pt x="447" y="1022"/>
                </a:lnTo>
                <a:lnTo>
                  <a:pt x="431" y="1031"/>
                </a:lnTo>
                <a:lnTo>
                  <a:pt x="412" y="1040"/>
                </a:lnTo>
                <a:lnTo>
                  <a:pt x="390" y="1046"/>
                </a:lnTo>
                <a:lnTo>
                  <a:pt x="368" y="1051"/>
                </a:lnTo>
                <a:lnTo>
                  <a:pt x="344" y="1055"/>
                </a:lnTo>
                <a:lnTo>
                  <a:pt x="319" y="1057"/>
                </a:lnTo>
                <a:lnTo>
                  <a:pt x="289" y="1059"/>
                </a:lnTo>
                <a:close/>
                <a:moveTo>
                  <a:pt x="560" y="486"/>
                </a:moveTo>
                <a:lnTo>
                  <a:pt x="457" y="536"/>
                </a:lnTo>
                <a:lnTo>
                  <a:pt x="457" y="536"/>
                </a:lnTo>
                <a:lnTo>
                  <a:pt x="400" y="563"/>
                </a:lnTo>
                <a:lnTo>
                  <a:pt x="350" y="589"/>
                </a:lnTo>
                <a:lnTo>
                  <a:pt x="307" y="615"/>
                </a:lnTo>
                <a:lnTo>
                  <a:pt x="289" y="626"/>
                </a:lnTo>
                <a:lnTo>
                  <a:pt x="272" y="639"/>
                </a:lnTo>
                <a:lnTo>
                  <a:pt x="260" y="652"/>
                </a:lnTo>
                <a:lnTo>
                  <a:pt x="247" y="666"/>
                </a:lnTo>
                <a:lnTo>
                  <a:pt x="236" y="681"/>
                </a:lnTo>
                <a:lnTo>
                  <a:pt x="226" y="696"/>
                </a:lnTo>
                <a:lnTo>
                  <a:pt x="221" y="712"/>
                </a:lnTo>
                <a:lnTo>
                  <a:pt x="215" y="731"/>
                </a:lnTo>
                <a:lnTo>
                  <a:pt x="214" y="749"/>
                </a:lnTo>
                <a:lnTo>
                  <a:pt x="212" y="771"/>
                </a:lnTo>
                <a:lnTo>
                  <a:pt x="212" y="771"/>
                </a:lnTo>
                <a:lnTo>
                  <a:pt x="214" y="788"/>
                </a:lnTo>
                <a:lnTo>
                  <a:pt x="215" y="803"/>
                </a:lnTo>
                <a:lnTo>
                  <a:pt x="217" y="817"/>
                </a:lnTo>
                <a:lnTo>
                  <a:pt x="223" y="830"/>
                </a:lnTo>
                <a:lnTo>
                  <a:pt x="228" y="843"/>
                </a:lnTo>
                <a:lnTo>
                  <a:pt x="236" y="856"/>
                </a:lnTo>
                <a:lnTo>
                  <a:pt x="245" y="865"/>
                </a:lnTo>
                <a:lnTo>
                  <a:pt x="254" y="876"/>
                </a:lnTo>
                <a:lnTo>
                  <a:pt x="265" y="884"/>
                </a:lnTo>
                <a:lnTo>
                  <a:pt x="276" y="891"/>
                </a:lnTo>
                <a:lnTo>
                  <a:pt x="289" y="898"/>
                </a:lnTo>
                <a:lnTo>
                  <a:pt x="304" y="902"/>
                </a:lnTo>
                <a:lnTo>
                  <a:pt x="319" y="908"/>
                </a:lnTo>
                <a:lnTo>
                  <a:pt x="335" y="909"/>
                </a:lnTo>
                <a:lnTo>
                  <a:pt x="353" y="911"/>
                </a:lnTo>
                <a:lnTo>
                  <a:pt x="372" y="913"/>
                </a:lnTo>
                <a:lnTo>
                  <a:pt x="372" y="913"/>
                </a:lnTo>
                <a:lnTo>
                  <a:pt x="396" y="911"/>
                </a:lnTo>
                <a:lnTo>
                  <a:pt x="416" y="908"/>
                </a:lnTo>
                <a:lnTo>
                  <a:pt x="436" y="900"/>
                </a:lnTo>
                <a:lnTo>
                  <a:pt x="457" y="893"/>
                </a:lnTo>
                <a:lnTo>
                  <a:pt x="473" y="882"/>
                </a:lnTo>
                <a:lnTo>
                  <a:pt x="488" y="871"/>
                </a:lnTo>
                <a:lnTo>
                  <a:pt x="503" y="856"/>
                </a:lnTo>
                <a:lnTo>
                  <a:pt x="514" y="841"/>
                </a:lnTo>
                <a:lnTo>
                  <a:pt x="525" y="825"/>
                </a:lnTo>
                <a:lnTo>
                  <a:pt x="534" y="806"/>
                </a:lnTo>
                <a:lnTo>
                  <a:pt x="543" y="788"/>
                </a:lnTo>
                <a:lnTo>
                  <a:pt x="549" y="768"/>
                </a:lnTo>
                <a:lnTo>
                  <a:pt x="554" y="747"/>
                </a:lnTo>
                <a:lnTo>
                  <a:pt x="558" y="727"/>
                </a:lnTo>
                <a:lnTo>
                  <a:pt x="560" y="705"/>
                </a:lnTo>
                <a:lnTo>
                  <a:pt x="560" y="685"/>
                </a:lnTo>
                <a:lnTo>
                  <a:pt x="560" y="486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3" name="Freeform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blackGray">
          <a:xfrm>
            <a:off x="8656896" y="408750"/>
            <a:ext cx="107254" cy="137369"/>
          </a:xfrm>
          <a:custGeom>
            <a:avLst/>
            <a:gdLst>
              <a:gd name="T0" fmla="*/ 256 w 823"/>
              <a:gd name="T1" fmla="*/ 1057 h 1059"/>
              <a:gd name="T2" fmla="*/ 169 w 823"/>
              <a:gd name="T3" fmla="*/ 1040 h 1059"/>
              <a:gd name="T4" fmla="*/ 98 w 823"/>
              <a:gd name="T5" fmla="*/ 1005 h 1059"/>
              <a:gd name="T6" fmla="*/ 44 w 823"/>
              <a:gd name="T7" fmla="*/ 954 h 1059"/>
              <a:gd name="T8" fmla="*/ 11 w 823"/>
              <a:gd name="T9" fmla="*/ 885 h 1059"/>
              <a:gd name="T10" fmla="*/ 0 w 823"/>
              <a:gd name="T11" fmla="*/ 806 h 1059"/>
              <a:gd name="T12" fmla="*/ 2 w 823"/>
              <a:gd name="T13" fmla="*/ 775 h 1059"/>
              <a:gd name="T14" fmla="*/ 31 w 823"/>
              <a:gd name="T15" fmla="*/ 694 h 1059"/>
              <a:gd name="T16" fmla="*/ 90 w 823"/>
              <a:gd name="T17" fmla="*/ 628 h 1059"/>
              <a:gd name="T18" fmla="*/ 166 w 823"/>
              <a:gd name="T19" fmla="*/ 572 h 1059"/>
              <a:gd name="T20" fmla="*/ 284 w 823"/>
              <a:gd name="T21" fmla="*/ 513 h 1059"/>
              <a:gd name="T22" fmla="*/ 409 w 823"/>
              <a:gd name="T23" fmla="*/ 458 h 1059"/>
              <a:gd name="T24" fmla="*/ 468 w 823"/>
              <a:gd name="T25" fmla="*/ 432 h 1059"/>
              <a:gd name="T26" fmla="*/ 528 w 823"/>
              <a:gd name="T27" fmla="*/ 394 h 1059"/>
              <a:gd name="T28" fmla="*/ 547 w 823"/>
              <a:gd name="T29" fmla="*/ 366 h 1059"/>
              <a:gd name="T30" fmla="*/ 558 w 823"/>
              <a:gd name="T31" fmla="*/ 307 h 1059"/>
              <a:gd name="T32" fmla="*/ 560 w 823"/>
              <a:gd name="T33" fmla="*/ 245 h 1059"/>
              <a:gd name="T34" fmla="*/ 550 w 823"/>
              <a:gd name="T35" fmla="*/ 188 h 1059"/>
              <a:gd name="T36" fmla="*/ 528 w 823"/>
              <a:gd name="T37" fmla="*/ 145 h 1059"/>
              <a:gd name="T38" fmla="*/ 497 w 823"/>
              <a:gd name="T39" fmla="*/ 114 h 1059"/>
              <a:gd name="T40" fmla="*/ 453 w 823"/>
              <a:gd name="T41" fmla="*/ 95 h 1059"/>
              <a:gd name="T42" fmla="*/ 398 w 823"/>
              <a:gd name="T43" fmla="*/ 88 h 1059"/>
              <a:gd name="T44" fmla="*/ 361 w 823"/>
              <a:gd name="T45" fmla="*/ 92 h 1059"/>
              <a:gd name="T46" fmla="*/ 319 w 823"/>
              <a:gd name="T47" fmla="*/ 103 h 1059"/>
              <a:gd name="T48" fmla="*/ 289 w 823"/>
              <a:gd name="T49" fmla="*/ 123 h 1059"/>
              <a:gd name="T50" fmla="*/ 252 w 823"/>
              <a:gd name="T51" fmla="*/ 180 h 1059"/>
              <a:gd name="T52" fmla="*/ 226 w 823"/>
              <a:gd name="T53" fmla="*/ 235 h 1059"/>
              <a:gd name="T54" fmla="*/ 191 w 823"/>
              <a:gd name="T55" fmla="*/ 278 h 1059"/>
              <a:gd name="T56" fmla="*/ 164 w 823"/>
              <a:gd name="T57" fmla="*/ 291 h 1059"/>
              <a:gd name="T58" fmla="*/ 129 w 823"/>
              <a:gd name="T59" fmla="*/ 296 h 1059"/>
              <a:gd name="T60" fmla="*/ 88 w 823"/>
              <a:gd name="T61" fmla="*/ 291 h 1059"/>
              <a:gd name="T62" fmla="*/ 48 w 823"/>
              <a:gd name="T63" fmla="*/ 261 h 1059"/>
              <a:gd name="T64" fmla="*/ 33 w 823"/>
              <a:gd name="T65" fmla="*/ 208 h 1059"/>
              <a:gd name="T66" fmla="*/ 35 w 823"/>
              <a:gd name="T67" fmla="*/ 182 h 1059"/>
              <a:gd name="T68" fmla="*/ 48 w 823"/>
              <a:gd name="T69" fmla="*/ 147 h 1059"/>
              <a:gd name="T70" fmla="*/ 87 w 823"/>
              <a:gd name="T71" fmla="*/ 95 h 1059"/>
              <a:gd name="T72" fmla="*/ 162 w 823"/>
              <a:gd name="T73" fmla="*/ 49 h 1059"/>
              <a:gd name="T74" fmla="*/ 258 w 823"/>
              <a:gd name="T75" fmla="*/ 18 h 1059"/>
              <a:gd name="T76" fmla="*/ 366 w 823"/>
              <a:gd name="T77" fmla="*/ 2 h 1059"/>
              <a:gd name="T78" fmla="*/ 444 w 823"/>
              <a:gd name="T79" fmla="*/ 0 h 1059"/>
              <a:gd name="T80" fmla="*/ 549 w 823"/>
              <a:gd name="T81" fmla="*/ 5 h 1059"/>
              <a:gd name="T82" fmla="*/ 631 w 823"/>
              <a:gd name="T83" fmla="*/ 25 h 1059"/>
              <a:gd name="T84" fmla="*/ 692 w 823"/>
              <a:gd name="T85" fmla="*/ 59 h 1059"/>
              <a:gd name="T86" fmla="*/ 731 w 823"/>
              <a:gd name="T87" fmla="*/ 105 h 1059"/>
              <a:gd name="T88" fmla="*/ 749 w 823"/>
              <a:gd name="T89" fmla="*/ 164 h 1059"/>
              <a:gd name="T90" fmla="*/ 749 w 823"/>
              <a:gd name="T91" fmla="*/ 694 h 1059"/>
              <a:gd name="T92" fmla="*/ 757 w 823"/>
              <a:gd name="T93" fmla="*/ 862 h 1059"/>
              <a:gd name="T94" fmla="*/ 775 w 823"/>
              <a:gd name="T95" fmla="*/ 939 h 1059"/>
              <a:gd name="T96" fmla="*/ 799 w 823"/>
              <a:gd name="T97" fmla="*/ 989 h 1059"/>
              <a:gd name="T98" fmla="*/ 589 w 823"/>
              <a:gd name="T99" fmla="*/ 1036 h 1059"/>
              <a:gd name="T100" fmla="*/ 578 w 823"/>
              <a:gd name="T101" fmla="*/ 983 h 1059"/>
              <a:gd name="T102" fmla="*/ 567 w 823"/>
              <a:gd name="T103" fmla="*/ 920 h 1059"/>
              <a:gd name="T104" fmla="*/ 562 w 823"/>
              <a:gd name="T105" fmla="*/ 902 h 1059"/>
              <a:gd name="T106" fmla="*/ 538 w 823"/>
              <a:gd name="T107" fmla="*/ 935 h 1059"/>
              <a:gd name="T108" fmla="*/ 477 w 823"/>
              <a:gd name="T109" fmla="*/ 1001 h 1059"/>
              <a:gd name="T110" fmla="*/ 431 w 823"/>
              <a:gd name="T111" fmla="*/ 1031 h 1059"/>
              <a:gd name="T112" fmla="*/ 368 w 823"/>
              <a:gd name="T113" fmla="*/ 1051 h 1059"/>
              <a:gd name="T114" fmla="*/ 289 w 823"/>
              <a:gd name="T115" fmla="*/ 1059 h 10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823" h="1059">
                <a:moveTo>
                  <a:pt x="289" y="1059"/>
                </a:moveTo>
                <a:lnTo>
                  <a:pt x="289" y="1059"/>
                </a:lnTo>
                <a:lnTo>
                  <a:pt x="256" y="1057"/>
                </a:lnTo>
                <a:lnTo>
                  <a:pt x="226" y="1053"/>
                </a:lnTo>
                <a:lnTo>
                  <a:pt x="197" y="1048"/>
                </a:lnTo>
                <a:lnTo>
                  <a:pt x="169" y="1040"/>
                </a:lnTo>
                <a:lnTo>
                  <a:pt x="144" y="1031"/>
                </a:lnTo>
                <a:lnTo>
                  <a:pt x="120" y="1018"/>
                </a:lnTo>
                <a:lnTo>
                  <a:pt x="98" y="1005"/>
                </a:lnTo>
                <a:lnTo>
                  <a:pt x="79" y="990"/>
                </a:lnTo>
                <a:lnTo>
                  <a:pt x="61" y="972"/>
                </a:lnTo>
                <a:lnTo>
                  <a:pt x="44" y="954"/>
                </a:lnTo>
                <a:lnTo>
                  <a:pt x="31" y="932"/>
                </a:lnTo>
                <a:lnTo>
                  <a:pt x="20" y="909"/>
                </a:lnTo>
                <a:lnTo>
                  <a:pt x="11" y="885"/>
                </a:lnTo>
                <a:lnTo>
                  <a:pt x="6" y="860"/>
                </a:lnTo>
                <a:lnTo>
                  <a:pt x="2" y="834"/>
                </a:lnTo>
                <a:lnTo>
                  <a:pt x="0" y="806"/>
                </a:lnTo>
                <a:lnTo>
                  <a:pt x="0" y="806"/>
                </a:lnTo>
                <a:lnTo>
                  <a:pt x="0" y="790"/>
                </a:lnTo>
                <a:lnTo>
                  <a:pt x="2" y="775"/>
                </a:lnTo>
                <a:lnTo>
                  <a:pt x="7" y="746"/>
                </a:lnTo>
                <a:lnTo>
                  <a:pt x="18" y="718"/>
                </a:lnTo>
                <a:lnTo>
                  <a:pt x="31" y="694"/>
                </a:lnTo>
                <a:lnTo>
                  <a:pt x="48" y="670"/>
                </a:lnTo>
                <a:lnTo>
                  <a:pt x="68" y="648"/>
                </a:lnTo>
                <a:lnTo>
                  <a:pt x="90" y="628"/>
                </a:lnTo>
                <a:lnTo>
                  <a:pt x="114" y="607"/>
                </a:lnTo>
                <a:lnTo>
                  <a:pt x="140" y="589"/>
                </a:lnTo>
                <a:lnTo>
                  <a:pt x="166" y="572"/>
                </a:lnTo>
                <a:lnTo>
                  <a:pt x="195" y="558"/>
                </a:lnTo>
                <a:lnTo>
                  <a:pt x="225" y="541"/>
                </a:lnTo>
                <a:lnTo>
                  <a:pt x="284" y="513"/>
                </a:lnTo>
                <a:lnTo>
                  <a:pt x="341" y="488"/>
                </a:lnTo>
                <a:lnTo>
                  <a:pt x="341" y="488"/>
                </a:lnTo>
                <a:lnTo>
                  <a:pt x="409" y="458"/>
                </a:lnTo>
                <a:lnTo>
                  <a:pt x="433" y="447"/>
                </a:lnTo>
                <a:lnTo>
                  <a:pt x="433" y="447"/>
                </a:lnTo>
                <a:lnTo>
                  <a:pt x="468" y="432"/>
                </a:lnTo>
                <a:lnTo>
                  <a:pt x="497" y="418"/>
                </a:lnTo>
                <a:lnTo>
                  <a:pt x="519" y="403"/>
                </a:lnTo>
                <a:lnTo>
                  <a:pt x="528" y="394"/>
                </a:lnTo>
                <a:lnTo>
                  <a:pt x="536" y="386"/>
                </a:lnTo>
                <a:lnTo>
                  <a:pt x="541" y="377"/>
                </a:lnTo>
                <a:lnTo>
                  <a:pt x="547" y="366"/>
                </a:lnTo>
                <a:lnTo>
                  <a:pt x="552" y="353"/>
                </a:lnTo>
                <a:lnTo>
                  <a:pt x="554" y="340"/>
                </a:lnTo>
                <a:lnTo>
                  <a:pt x="558" y="307"/>
                </a:lnTo>
                <a:lnTo>
                  <a:pt x="560" y="267"/>
                </a:lnTo>
                <a:lnTo>
                  <a:pt x="560" y="267"/>
                </a:lnTo>
                <a:lnTo>
                  <a:pt x="560" y="245"/>
                </a:lnTo>
                <a:lnTo>
                  <a:pt x="558" y="224"/>
                </a:lnTo>
                <a:lnTo>
                  <a:pt x="554" y="206"/>
                </a:lnTo>
                <a:lnTo>
                  <a:pt x="550" y="188"/>
                </a:lnTo>
                <a:lnTo>
                  <a:pt x="545" y="173"/>
                </a:lnTo>
                <a:lnTo>
                  <a:pt x="538" y="158"/>
                </a:lnTo>
                <a:lnTo>
                  <a:pt x="528" y="145"/>
                </a:lnTo>
                <a:lnTo>
                  <a:pt x="519" y="132"/>
                </a:lnTo>
                <a:lnTo>
                  <a:pt x="508" y="123"/>
                </a:lnTo>
                <a:lnTo>
                  <a:pt x="497" y="114"/>
                </a:lnTo>
                <a:lnTo>
                  <a:pt x="484" y="106"/>
                </a:lnTo>
                <a:lnTo>
                  <a:pt x="469" y="99"/>
                </a:lnTo>
                <a:lnTo>
                  <a:pt x="453" y="95"/>
                </a:lnTo>
                <a:lnTo>
                  <a:pt x="436" y="92"/>
                </a:lnTo>
                <a:lnTo>
                  <a:pt x="418" y="90"/>
                </a:lnTo>
                <a:lnTo>
                  <a:pt x="398" y="88"/>
                </a:lnTo>
                <a:lnTo>
                  <a:pt x="398" y="88"/>
                </a:lnTo>
                <a:lnTo>
                  <a:pt x="379" y="90"/>
                </a:lnTo>
                <a:lnTo>
                  <a:pt x="361" y="92"/>
                </a:lnTo>
                <a:lnTo>
                  <a:pt x="346" y="94"/>
                </a:lnTo>
                <a:lnTo>
                  <a:pt x="331" y="99"/>
                </a:lnTo>
                <a:lnTo>
                  <a:pt x="319" y="103"/>
                </a:lnTo>
                <a:lnTo>
                  <a:pt x="307" y="110"/>
                </a:lnTo>
                <a:lnTo>
                  <a:pt x="298" y="116"/>
                </a:lnTo>
                <a:lnTo>
                  <a:pt x="289" y="123"/>
                </a:lnTo>
                <a:lnTo>
                  <a:pt x="274" y="140"/>
                </a:lnTo>
                <a:lnTo>
                  <a:pt x="261" y="160"/>
                </a:lnTo>
                <a:lnTo>
                  <a:pt x="252" y="180"/>
                </a:lnTo>
                <a:lnTo>
                  <a:pt x="243" y="200"/>
                </a:lnTo>
                <a:lnTo>
                  <a:pt x="243" y="200"/>
                </a:lnTo>
                <a:lnTo>
                  <a:pt x="226" y="235"/>
                </a:lnTo>
                <a:lnTo>
                  <a:pt x="217" y="252"/>
                </a:lnTo>
                <a:lnTo>
                  <a:pt x="206" y="265"/>
                </a:lnTo>
                <a:lnTo>
                  <a:pt x="191" y="278"/>
                </a:lnTo>
                <a:lnTo>
                  <a:pt x="184" y="283"/>
                </a:lnTo>
                <a:lnTo>
                  <a:pt x="175" y="287"/>
                </a:lnTo>
                <a:lnTo>
                  <a:pt x="164" y="291"/>
                </a:lnTo>
                <a:lnTo>
                  <a:pt x="153" y="294"/>
                </a:lnTo>
                <a:lnTo>
                  <a:pt x="142" y="296"/>
                </a:lnTo>
                <a:lnTo>
                  <a:pt x="129" y="296"/>
                </a:lnTo>
                <a:lnTo>
                  <a:pt x="129" y="296"/>
                </a:lnTo>
                <a:lnTo>
                  <a:pt x="107" y="294"/>
                </a:lnTo>
                <a:lnTo>
                  <a:pt x="88" y="291"/>
                </a:lnTo>
                <a:lnTo>
                  <a:pt x="72" y="283"/>
                </a:lnTo>
                <a:lnTo>
                  <a:pt x="59" y="272"/>
                </a:lnTo>
                <a:lnTo>
                  <a:pt x="48" y="261"/>
                </a:lnTo>
                <a:lnTo>
                  <a:pt x="41" y="245"/>
                </a:lnTo>
                <a:lnTo>
                  <a:pt x="35" y="228"/>
                </a:lnTo>
                <a:lnTo>
                  <a:pt x="33" y="208"/>
                </a:lnTo>
                <a:lnTo>
                  <a:pt x="33" y="208"/>
                </a:lnTo>
                <a:lnTo>
                  <a:pt x="33" y="195"/>
                </a:lnTo>
                <a:lnTo>
                  <a:pt x="35" y="182"/>
                </a:lnTo>
                <a:lnTo>
                  <a:pt x="39" y="169"/>
                </a:lnTo>
                <a:lnTo>
                  <a:pt x="42" y="158"/>
                </a:lnTo>
                <a:lnTo>
                  <a:pt x="48" y="147"/>
                </a:lnTo>
                <a:lnTo>
                  <a:pt x="53" y="136"/>
                </a:lnTo>
                <a:lnTo>
                  <a:pt x="68" y="114"/>
                </a:lnTo>
                <a:lnTo>
                  <a:pt x="87" y="95"/>
                </a:lnTo>
                <a:lnTo>
                  <a:pt x="109" y="79"/>
                </a:lnTo>
                <a:lnTo>
                  <a:pt x="134" y="62"/>
                </a:lnTo>
                <a:lnTo>
                  <a:pt x="162" y="49"/>
                </a:lnTo>
                <a:lnTo>
                  <a:pt x="191" y="36"/>
                </a:lnTo>
                <a:lnTo>
                  <a:pt x="225" y="27"/>
                </a:lnTo>
                <a:lnTo>
                  <a:pt x="258" y="18"/>
                </a:lnTo>
                <a:lnTo>
                  <a:pt x="293" y="11"/>
                </a:lnTo>
                <a:lnTo>
                  <a:pt x="330" y="5"/>
                </a:lnTo>
                <a:lnTo>
                  <a:pt x="366" y="2"/>
                </a:lnTo>
                <a:lnTo>
                  <a:pt x="405" y="0"/>
                </a:lnTo>
                <a:lnTo>
                  <a:pt x="444" y="0"/>
                </a:lnTo>
                <a:lnTo>
                  <a:pt x="444" y="0"/>
                </a:lnTo>
                <a:lnTo>
                  <a:pt x="481" y="0"/>
                </a:lnTo>
                <a:lnTo>
                  <a:pt x="515" y="2"/>
                </a:lnTo>
                <a:lnTo>
                  <a:pt x="549" y="5"/>
                </a:lnTo>
                <a:lnTo>
                  <a:pt x="578" y="11"/>
                </a:lnTo>
                <a:lnTo>
                  <a:pt x="606" y="16"/>
                </a:lnTo>
                <a:lnTo>
                  <a:pt x="631" y="25"/>
                </a:lnTo>
                <a:lnTo>
                  <a:pt x="654" y="35"/>
                </a:lnTo>
                <a:lnTo>
                  <a:pt x="674" y="46"/>
                </a:lnTo>
                <a:lnTo>
                  <a:pt x="692" y="59"/>
                </a:lnTo>
                <a:lnTo>
                  <a:pt x="707" y="71"/>
                </a:lnTo>
                <a:lnTo>
                  <a:pt x="720" y="86"/>
                </a:lnTo>
                <a:lnTo>
                  <a:pt x="731" y="105"/>
                </a:lnTo>
                <a:lnTo>
                  <a:pt x="738" y="123"/>
                </a:lnTo>
                <a:lnTo>
                  <a:pt x="746" y="141"/>
                </a:lnTo>
                <a:lnTo>
                  <a:pt x="749" y="164"/>
                </a:lnTo>
                <a:lnTo>
                  <a:pt x="749" y="188"/>
                </a:lnTo>
                <a:lnTo>
                  <a:pt x="749" y="694"/>
                </a:lnTo>
                <a:lnTo>
                  <a:pt x="749" y="694"/>
                </a:lnTo>
                <a:lnTo>
                  <a:pt x="749" y="779"/>
                </a:lnTo>
                <a:lnTo>
                  <a:pt x="753" y="821"/>
                </a:lnTo>
                <a:lnTo>
                  <a:pt x="757" y="862"/>
                </a:lnTo>
                <a:lnTo>
                  <a:pt x="764" y="902"/>
                </a:lnTo>
                <a:lnTo>
                  <a:pt x="768" y="920"/>
                </a:lnTo>
                <a:lnTo>
                  <a:pt x="775" y="939"/>
                </a:lnTo>
                <a:lnTo>
                  <a:pt x="781" y="955"/>
                </a:lnTo>
                <a:lnTo>
                  <a:pt x="790" y="972"/>
                </a:lnTo>
                <a:lnTo>
                  <a:pt x="799" y="989"/>
                </a:lnTo>
                <a:lnTo>
                  <a:pt x="810" y="1003"/>
                </a:lnTo>
                <a:lnTo>
                  <a:pt x="823" y="1022"/>
                </a:lnTo>
                <a:lnTo>
                  <a:pt x="589" y="1036"/>
                </a:lnTo>
                <a:lnTo>
                  <a:pt x="587" y="1027"/>
                </a:lnTo>
                <a:lnTo>
                  <a:pt x="587" y="1027"/>
                </a:lnTo>
                <a:lnTo>
                  <a:pt x="578" y="983"/>
                </a:lnTo>
                <a:lnTo>
                  <a:pt x="571" y="946"/>
                </a:lnTo>
                <a:lnTo>
                  <a:pt x="571" y="946"/>
                </a:lnTo>
                <a:lnTo>
                  <a:pt x="567" y="920"/>
                </a:lnTo>
                <a:lnTo>
                  <a:pt x="563" y="909"/>
                </a:lnTo>
                <a:lnTo>
                  <a:pt x="562" y="902"/>
                </a:lnTo>
                <a:lnTo>
                  <a:pt x="562" y="902"/>
                </a:lnTo>
                <a:lnTo>
                  <a:pt x="560" y="904"/>
                </a:lnTo>
                <a:lnTo>
                  <a:pt x="560" y="904"/>
                </a:lnTo>
                <a:lnTo>
                  <a:pt x="538" y="935"/>
                </a:lnTo>
                <a:lnTo>
                  <a:pt x="515" y="963"/>
                </a:lnTo>
                <a:lnTo>
                  <a:pt x="492" y="990"/>
                </a:lnTo>
                <a:lnTo>
                  <a:pt x="477" y="1001"/>
                </a:lnTo>
                <a:lnTo>
                  <a:pt x="462" y="1013"/>
                </a:lnTo>
                <a:lnTo>
                  <a:pt x="447" y="1022"/>
                </a:lnTo>
                <a:lnTo>
                  <a:pt x="431" y="1031"/>
                </a:lnTo>
                <a:lnTo>
                  <a:pt x="412" y="1040"/>
                </a:lnTo>
                <a:lnTo>
                  <a:pt x="390" y="1046"/>
                </a:lnTo>
                <a:lnTo>
                  <a:pt x="368" y="1051"/>
                </a:lnTo>
                <a:lnTo>
                  <a:pt x="344" y="1055"/>
                </a:lnTo>
                <a:lnTo>
                  <a:pt x="319" y="1057"/>
                </a:lnTo>
                <a:lnTo>
                  <a:pt x="289" y="1059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4" name="Freeform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/>
          </xdr:cNvSpPr>
        </xdr:nvSpPr>
        <xdr:spPr bwMode="blackGray">
          <a:xfrm>
            <a:off x="8684353" y="471425"/>
            <a:ext cx="45476" cy="55806"/>
          </a:xfrm>
          <a:custGeom>
            <a:avLst/>
            <a:gdLst>
              <a:gd name="T0" fmla="*/ 348 w 348"/>
              <a:gd name="T1" fmla="*/ 0 h 427"/>
              <a:gd name="T2" fmla="*/ 245 w 348"/>
              <a:gd name="T3" fmla="*/ 50 h 427"/>
              <a:gd name="T4" fmla="*/ 245 w 348"/>
              <a:gd name="T5" fmla="*/ 50 h 427"/>
              <a:gd name="T6" fmla="*/ 188 w 348"/>
              <a:gd name="T7" fmla="*/ 77 h 427"/>
              <a:gd name="T8" fmla="*/ 138 w 348"/>
              <a:gd name="T9" fmla="*/ 103 h 427"/>
              <a:gd name="T10" fmla="*/ 95 w 348"/>
              <a:gd name="T11" fmla="*/ 129 h 427"/>
              <a:gd name="T12" fmla="*/ 77 w 348"/>
              <a:gd name="T13" fmla="*/ 140 h 427"/>
              <a:gd name="T14" fmla="*/ 60 w 348"/>
              <a:gd name="T15" fmla="*/ 153 h 427"/>
              <a:gd name="T16" fmla="*/ 48 w 348"/>
              <a:gd name="T17" fmla="*/ 166 h 427"/>
              <a:gd name="T18" fmla="*/ 35 w 348"/>
              <a:gd name="T19" fmla="*/ 180 h 427"/>
              <a:gd name="T20" fmla="*/ 24 w 348"/>
              <a:gd name="T21" fmla="*/ 195 h 427"/>
              <a:gd name="T22" fmla="*/ 14 w 348"/>
              <a:gd name="T23" fmla="*/ 210 h 427"/>
              <a:gd name="T24" fmla="*/ 9 w 348"/>
              <a:gd name="T25" fmla="*/ 226 h 427"/>
              <a:gd name="T26" fmla="*/ 3 w 348"/>
              <a:gd name="T27" fmla="*/ 245 h 427"/>
              <a:gd name="T28" fmla="*/ 2 w 348"/>
              <a:gd name="T29" fmla="*/ 263 h 427"/>
              <a:gd name="T30" fmla="*/ 0 w 348"/>
              <a:gd name="T31" fmla="*/ 285 h 427"/>
              <a:gd name="T32" fmla="*/ 0 w 348"/>
              <a:gd name="T33" fmla="*/ 285 h 427"/>
              <a:gd name="T34" fmla="*/ 2 w 348"/>
              <a:gd name="T35" fmla="*/ 302 h 427"/>
              <a:gd name="T36" fmla="*/ 3 w 348"/>
              <a:gd name="T37" fmla="*/ 317 h 427"/>
              <a:gd name="T38" fmla="*/ 5 w 348"/>
              <a:gd name="T39" fmla="*/ 331 h 427"/>
              <a:gd name="T40" fmla="*/ 11 w 348"/>
              <a:gd name="T41" fmla="*/ 344 h 427"/>
              <a:gd name="T42" fmla="*/ 16 w 348"/>
              <a:gd name="T43" fmla="*/ 357 h 427"/>
              <a:gd name="T44" fmla="*/ 24 w 348"/>
              <a:gd name="T45" fmla="*/ 370 h 427"/>
              <a:gd name="T46" fmla="*/ 33 w 348"/>
              <a:gd name="T47" fmla="*/ 379 h 427"/>
              <a:gd name="T48" fmla="*/ 42 w 348"/>
              <a:gd name="T49" fmla="*/ 390 h 427"/>
              <a:gd name="T50" fmla="*/ 53 w 348"/>
              <a:gd name="T51" fmla="*/ 398 h 427"/>
              <a:gd name="T52" fmla="*/ 64 w 348"/>
              <a:gd name="T53" fmla="*/ 405 h 427"/>
              <a:gd name="T54" fmla="*/ 77 w 348"/>
              <a:gd name="T55" fmla="*/ 412 h 427"/>
              <a:gd name="T56" fmla="*/ 92 w 348"/>
              <a:gd name="T57" fmla="*/ 416 h 427"/>
              <a:gd name="T58" fmla="*/ 107 w 348"/>
              <a:gd name="T59" fmla="*/ 422 h 427"/>
              <a:gd name="T60" fmla="*/ 123 w 348"/>
              <a:gd name="T61" fmla="*/ 423 h 427"/>
              <a:gd name="T62" fmla="*/ 141 w 348"/>
              <a:gd name="T63" fmla="*/ 425 h 427"/>
              <a:gd name="T64" fmla="*/ 160 w 348"/>
              <a:gd name="T65" fmla="*/ 427 h 427"/>
              <a:gd name="T66" fmla="*/ 160 w 348"/>
              <a:gd name="T67" fmla="*/ 427 h 427"/>
              <a:gd name="T68" fmla="*/ 184 w 348"/>
              <a:gd name="T69" fmla="*/ 425 h 427"/>
              <a:gd name="T70" fmla="*/ 204 w 348"/>
              <a:gd name="T71" fmla="*/ 422 h 427"/>
              <a:gd name="T72" fmla="*/ 224 w 348"/>
              <a:gd name="T73" fmla="*/ 414 h 427"/>
              <a:gd name="T74" fmla="*/ 245 w 348"/>
              <a:gd name="T75" fmla="*/ 407 h 427"/>
              <a:gd name="T76" fmla="*/ 261 w 348"/>
              <a:gd name="T77" fmla="*/ 396 h 427"/>
              <a:gd name="T78" fmla="*/ 276 w 348"/>
              <a:gd name="T79" fmla="*/ 385 h 427"/>
              <a:gd name="T80" fmla="*/ 291 w 348"/>
              <a:gd name="T81" fmla="*/ 370 h 427"/>
              <a:gd name="T82" fmla="*/ 302 w 348"/>
              <a:gd name="T83" fmla="*/ 355 h 427"/>
              <a:gd name="T84" fmla="*/ 313 w 348"/>
              <a:gd name="T85" fmla="*/ 339 h 427"/>
              <a:gd name="T86" fmla="*/ 322 w 348"/>
              <a:gd name="T87" fmla="*/ 320 h 427"/>
              <a:gd name="T88" fmla="*/ 331 w 348"/>
              <a:gd name="T89" fmla="*/ 302 h 427"/>
              <a:gd name="T90" fmla="*/ 337 w 348"/>
              <a:gd name="T91" fmla="*/ 282 h 427"/>
              <a:gd name="T92" fmla="*/ 342 w 348"/>
              <a:gd name="T93" fmla="*/ 261 h 427"/>
              <a:gd name="T94" fmla="*/ 346 w 348"/>
              <a:gd name="T95" fmla="*/ 241 h 427"/>
              <a:gd name="T96" fmla="*/ 348 w 348"/>
              <a:gd name="T97" fmla="*/ 219 h 427"/>
              <a:gd name="T98" fmla="*/ 348 w 348"/>
              <a:gd name="T99" fmla="*/ 199 h 427"/>
              <a:gd name="T100" fmla="*/ 348 w 348"/>
              <a:gd name="T101" fmla="*/ 0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348" h="427">
                <a:moveTo>
                  <a:pt x="348" y="0"/>
                </a:moveTo>
                <a:lnTo>
                  <a:pt x="245" y="50"/>
                </a:lnTo>
                <a:lnTo>
                  <a:pt x="245" y="50"/>
                </a:lnTo>
                <a:lnTo>
                  <a:pt x="188" y="77"/>
                </a:lnTo>
                <a:lnTo>
                  <a:pt x="138" y="103"/>
                </a:lnTo>
                <a:lnTo>
                  <a:pt x="95" y="129"/>
                </a:lnTo>
                <a:lnTo>
                  <a:pt x="77" y="140"/>
                </a:lnTo>
                <a:lnTo>
                  <a:pt x="60" y="153"/>
                </a:lnTo>
                <a:lnTo>
                  <a:pt x="48" y="166"/>
                </a:lnTo>
                <a:lnTo>
                  <a:pt x="35" y="180"/>
                </a:lnTo>
                <a:lnTo>
                  <a:pt x="24" y="195"/>
                </a:lnTo>
                <a:lnTo>
                  <a:pt x="14" y="210"/>
                </a:lnTo>
                <a:lnTo>
                  <a:pt x="9" y="226"/>
                </a:lnTo>
                <a:lnTo>
                  <a:pt x="3" y="245"/>
                </a:lnTo>
                <a:lnTo>
                  <a:pt x="2" y="263"/>
                </a:lnTo>
                <a:lnTo>
                  <a:pt x="0" y="285"/>
                </a:lnTo>
                <a:lnTo>
                  <a:pt x="0" y="285"/>
                </a:lnTo>
                <a:lnTo>
                  <a:pt x="2" y="302"/>
                </a:lnTo>
                <a:lnTo>
                  <a:pt x="3" y="317"/>
                </a:lnTo>
                <a:lnTo>
                  <a:pt x="5" y="331"/>
                </a:lnTo>
                <a:lnTo>
                  <a:pt x="11" y="344"/>
                </a:lnTo>
                <a:lnTo>
                  <a:pt x="16" y="357"/>
                </a:lnTo>
                <a:lnTo>
                  <a:pt x="24" y="370"/>
                </a:lnTo>
                <a:lnTo>
                  <a:pt x="33" y="379"/>
                </a:lnTo>
                <a:lnTo>
                  <a:pt x="42" y="390"/>
                </a:lnTo>
                <a:lnTo>
                  <a:pt x="53" y="398"/>
                </a:lnTo>
                <a:lnTo>
                  <a:pt x="64" y="405"/>
                </a:lnTo>
                <a:lnTo>
                  <a:pt x="77" y="412"/>
                </a:lnTo>
                <a:lnTo>
                  <a:pt x="92" y="416"/>
                </a:lnTo>
                <a:lnTo>
                  <a:pt x="107" y="422"/>
                </a:lnTo>
                <a:lnTo>
                  <a:pt x="123" y="423"/>
                </a:lnTo>
                <a:lnTo>
                  <a:pt x="141" y="425"/>
                </a:lnTo>
                <a:lnTo>
                  <a:pt x="160" y="427"/>
                </a:lnTo>
                <a:lnTo>
                  <a:pt x="160" y="427"/>
                </a:lnTo>
                <a:lnTo>
                  <a:pt x="184" y="425"/>
                </a:lnTo>
                <a:lnTo>
                  <a:pt x="204" y="422"/>
                </a:lnTo>
                <a:lnTo>
                  <a:pt x="224" y="414"/>
                </a:lnTo>
                <a:lnTo>
                  <a:pt x="245" y="407"/>
                </a:lnTo>
                <a:lnTo>
                  <a:pt x="261" y="396"/>
                </a:lnTo>
                <a:lnTo>
                  <a:pt x="276" y="385"/>
                </a:lnTo>
                <a:lnTo>
                  <a:pt x="291" y="370"/>
                </a:lnTo>
                <a:lnTo>
                  <a:pt x="302" y="355"/>
                </a:lnTo>
                <a:lnTo>
                  <a:pt x="313" y="339"/>
                </a:lnTo>
                <a:lnTo>
                  <a:pt x="322" y="320"/>
                </a:lnTo>
                <a:lnTo>
                  <a:pt x="331" y="302"/>
                </a:lnTo>
                <a:lnTo>
                  <a:pt x="337" y="282"/>
                </a:lnTo>
                <a:lnTo>
                  <a:pt x="342" y="261"/>
                </a:lnTo>
                <a:lnTo>
                  <a:pt x="346" y="241"/>
                </a:lnTo>
                <a:lnTo>
                  <a:pt x="348" y="219"/>
                </a:lnTo>
                <a:lnTo>
                  <a:pt x="348" y="199"/>
                </a:lnTo>
                <a:lnTo>
                  <a:pt x="348" y="0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/>
          </xdr:cNvSpPr>
        </xdr:nvSpPr>
        <xdr:spPr bwMode="blackGray">
          <a:xfrm>
            <a:off x="8773588" y="358954"/>
            <a:ext cx="41185" cy="182872"/>
          </a:xfrm>
          <a:custGeom>
            <a:avLst/>
            <a:gdLst>
              <a:gd name="T0" fmla="*/ 318 w 318"/>
              <a:gd name="T1" fmla="*/ 1406 h 1406"/>
              <a:gd name="T2" fmla="*/ 27 w 318"/>
              <a:gd name="T3" fmla="*/ 1406 h 1406"/>
              <a:gd name="T4" fmla="*/ 40 w 318"/>
              <a:gd name="T5" fmla="*/ 1387 h 1406"/>
              <a:gd name="T6" fmla="*/ 40 w 318"/>
              <a:gd name="T7" fmla="*/ 1387 h 1406"/>
              <a:gd name="T8" fmla="*/ 53 w 318"/>
              <a:gd name="T9" fmla="*/ 1363 h 1406"/>
              <a:gd name="T10" fmla="*/ 62 w 318"/>
              <a:gd name="T11" fmla="*/ 1337 h 1406"/>
              <a:gd name="T12" fmla="*/ 69 w 318"/>
              <a:gd name="T13" fmla="*/ 1310 h 1406"/>
              <a:gd name="T14" fmla="*/ 73 w 318"/>
              <a:gd name="T15" fmla="*/ 1282 h 1406"/>
              <a:gd name="T16" fmla="*/ 77 w 318"/>
              <a:gd name="T17" fmla="*/ 1251 h 1406"/>
              <a:gd name="T18" fmla="*/ 77 w 318"/>
              <a:gd name="T19" fmla="*/ 1220 h 1406"/>
              <a:gd name="T20" fmla="*/ 79 w 318"/>
              <a:gd name="T21" fmla="*/ 1159 h 1406"/>
              <a:gd name="T22" fmla="*/ 75 w 318"/>
              <a:gd name="T23" fmla="*/ 267 h 1406"/>
              <a:gd name="T24" fmla="*/ 75 w 318"/>
              <a:gd name="T25" fmla="*/ 267 h 1406"/>
              <a:gd name="T26" fmla="*/ 75 w 318"/>
              <a:gd name="T27" fmla="*/ 203 h 1406"/>
              <a:gd name="T28" fmla="*/ 73 w 318"/>
              <a:gd name="T29" fmla="*/ 174 h 1406"/>
              <a:gd name="T30" fmla="*/ 69 w 318"/>
              <a:gd name="T31" fmla="*/ 146 h 1406"/>
              <a:gd name="T32" fmla="*/ 62 w 318"/>
              <a:gd name="T33" fmla="*/ 120 h 1406"/>
              <a:gd name="T34" fmla="*/ 53 w 318"/>
              <a:gd name="T35" fmla="*/ 96 h 1406"/>
              <a:gd name="T36" fmla="*/ 47 w 318"/>
              <a:gd name="T37" fmla="*/ 87 h 1406"/>
              <a:gd name="T38" fmla="*/ 40 w 318"/>
              <a:gd name="T39" fmla="*/ 78 h 1406"/>
              <a:gd name="T40" fmla="*/ 33 w 318"/>
              <a:gd name="T41" fmla="*/ 69 h 1406"/>
              <a:gd name="T42" fmla="*/ 23 w 318"/>
              <a:gd name="T43" fmla="*/ 59 h 1406"/>
              <a:gd name="T44" fmla="*/ 0 w 318"/>
              <a:gd name="T45" fmla="*/ 43 h 1406"/>
              <a:gd name="T46" fmla="*/ 265 w 318"/>
              <a:gd name="T47" fmla="*/ 0 h 1406"/>
              <a:gd name="T48" fmla="*/ 268 w 318"/>
              <a:gd name="T49" fmla="*/ 1159 h 1406"/>
              <a:gd name="T50" fmla="*/ 268 w 318"/>
              <a:gd name="T51" fmla="*/ 1159 h 1406"/>
              <a:gd name="T52" fmla="*/ 268 w 318"/>
              <a:gd name="T53" fmla="*/ 1220 h 1406"/>
              <a:gd name="T54" fmla="*/ 270 w 318"/>
              <a:gd name="T55" fmla="*/ 1251 h 1406"/>
              <a:gd name="T56" fmla="*/ 272 w 318"/>
              <a:gd name="T57" fmla="*/ 1282 h 1406"/>
              <a:gd name="T58" fmla="*/ 278 w 318"/>
              <a:gd name="T59" fmla="*/ 1310 h 1406"/>
              <a:gd name="T60" fmla="*/ 283 w 318"/>
              <a:gd name="T61" fmla="*/ 1337 h 1406"/>
              <a:gd name="T62" fmla="*/ 294 w 318"/>
              <a:gd name="T63" fmla="*/ 1363 h 1406"/>
              <a:gd name="T64" fmla="*/ 305 w 318"/>
              <a:gd name="T65" fmla="*/ 1387 h 1406"/>
              <a:gd name="T66" fmla="*/ 318 w 318"/>
              <a:gd name="T67" fmla="*/ 1406 h 1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318" h="1406">
                <a:moveTo>
                  <a:pt x="318" y="1406"/>
                </a:moveTo>
                <a:lnTo>
                  <a:pt x="27" y="1406"/>
                </a:lnTo>
                <a:lnTo>
                  <a:pt x="40" y="1387"/>
                </a:lnTo>
                <a:lnTo>
                  <a:pt x="40" y="1387"/>
                </a:lnTo>
                <a:lnTo>
                  <a:pt x="53" y="1363"/>
                </a:lnTo>
                <a:lnTo>
                  <a:pt x="62" y="1337"/>
                </a:lnTo>
                <a:lnTo>
                  <a:pt x="69" y="1310"/>
                </a:lnTo>
                <a:lnTo>
                  <a:pt x="73" y="1282"/>
                </a:lnTo>
                <a:lnTo>
                  <a:pt x="77" y="1251"/>
                </a:lnTo>
                <a:lnTo>
                  <a:pt x="77" y="1220"/>
                </a:lnTo>
                <a:lnTo>
                  <a:pt x="79" y="1159"/>
                </a:lnTo>
                <a:lnTo>
                  <a:pt x="75" y="267"/>
                </a:lnTo>
                <a:lnTo>
                  <a:pt x="75" y="267"/>
                </a:lnTo>
                <a:lnTo>
                  <a:pt x="75" y="203"/>
                </a:lnTo>
                <a:lnTo>
                  <a:pt x="73" y="174"/>
                </a:lnTo>
                <a:lnTo>
                  <a:pt x="69" y="146"/>
                </a:lnTo>
                <a:lnTo>
                  <a:pt x="62" y="120"/>
                </a:lnTo>
                <a:lnTo>
                  <a:pt x="53" y="96"/>
                </a:lnTo>
                <a:lnTo>
                  <a:pt x="47" y="87"/>
                </a:lnTo>
                <a:lnTo>
                  <a:pt x="40" y="78"/>
                </a:lnTo>
                <a:lnTo>
                  <a:pt x="33" y="69"/>
                </a:lnTo>
                <a:lnTo>
                  <a:pt x="23" y="59"/>
                </a:lnTo>
                <a:lnTo>
                  <a:pt x="0" y="43"/>
                </a:lnTo>
                <a:lnTo>
                  <a:pt x="265" y="0"/>
                </a:lnTo>
                <a:lnTo>
                  <a:pt x="268" y="1159"/>
                </a:lnTo>
                <a:lnTo>
                  <a:pt x="268" y="1159"/>
                </a:lnTo>
                <a:lnTo>
                  <a:pt x="268" y="1220"/>
                </a:lnTo>
                <a:lnTo>
                  <a:pt x="270" y="1251"/>
                </a:lnTo>
                <a:lnTo>
                  <a:pt x="272" y="1282"/>
                </a:lnTo>
                <a:lnTo>
                  <a:pt x="278" y="1310"/>
                </a:lnTo>
                <a:lnTo>
                  <a:pt x="283" y="1337"/>
                </a:lnTo>
                <a:lnTo>
                  <a:pt x="294" y="1363"/>
                </a:lnTo>
                <a:lnTo>
                  <a:pt x="305" y="1387"/>
                </a:lnTo>
                <a:lnTo>
                  <a:pt x="318" y="1406"/>
                </a:lnTo>
                <a:close/>
              </a:path>
            </a:pathLst>
          </a:custGeom>
          <a:solidFill>
            <a:srgbClr val="00457C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blackGray">
          <a:xfrm>
            <a:off x="7443647" y="560714"/>
            <a:ext cx="250544" cy="93583"/>
          </a:xfrm>
          <a:custGeom>
            <a:avLst/>
            <a:gdLst>
              <a:gd name="T0" fmla="*/ 93 w 1925"/>
              <a:gd name="T1" fmla="*/ 606 h 722"/>
              <a:gd name="T2" fmla="*/ 186 w 1925"/>
              <a:gd name="T3" fmla="*/ 642 h 722"/>
              <a:gd name="T4" fmla="*/ 285 w 1925"/>
              <a:gd name="T5" fmla="*/ 674 h 722"/>
              <a:gd name="T6" fmla="*/ 390 w 1925"/>
              <a:gd name="T7" fmla="*/ 696 h 722"/>
              <a:gd name="T8" fmla="*/ 498 w 1925"/>
              <a:gd name="T9" fmla="*/ 712 h 722"/>
              <a:gd name="T10" fmla="*/ 613 w 1925"/>
              <a:gd name="T11" fmla="*/ 720 h 722"/>
              <a:gd name="T12" fmla="*/ 729 w 1925"/>
              <a:gd name="T13" fmla="*/ 720 h 722"/>
              <a:gd name="T14" fmla="*/ 848 w 1925"/>
              <a:gd name="T15" fmla="*/ 712 h 722"/>
              <a:gd name="T16" fmla="*/ 970 w 1925"/>
              <a:gd name="T17" fmla="*/ 694 h 722"/>
              <a:gd name="T18" fmla="*/ 1093 w 1925"/>
              <a:gd name="T19" fmla="*/ 668 h 722"/>
              <a:gd name="T20" fmla="*/ 1215 w 1925"/>
              <a:gd name="T21" fmla="*/ 633 h 722"/>
              <a:gd name="T22" fmla="*/ 1338 w 1925"/>
              <a:gd name="T23" fmla="*/ 587 h 722"/>
              <a:gd name="T24" fmla="*/ 1459 w 1925"/>
              <a:gd name="T25" fmla="*/ 530 h 722"/>
              <a:gd name="T26" fmla="*/ 1581 w 1925"/>
              <a:gd name="T27" fmla="*/ 464 h 722"/>
              <a:gd name="T28" fmla="*/ 1699 w 1925"/>
              <a:gd name="T29" fmla="*/ 385 h 722"/>
              <a:gd name="T30" fmla="*/ 1815 w 1925"/>
              <a:gd name="T31" fmla="*/ 294 h 722"/>
              <a:gd name="T32" fmla="*/ 1925 w 1925"/>
              <a:gd name="T33" fmla="*/ 193 h 722"/>
              <a:gd name="T34" fmla="*/ 1783 w 1925"/>
              <a:gd name="T35" fmla="*/ 0 h 722"/>
              <a:gd name="T36" fmla="*/ 1673 w 1925"/>
              <a:gd name="T37" fmla="*/ 107 h 722"/>
              <a:gd name="T38" fmla="*/ 1559 w 1925"/>
              <a:gd name="T39" fmla="*/ 200 h 722"/>
              <a:gd name="T40" fmla="*/ 1441 w 1925"/>
              <a:gd name="T41" fmla="*/ 285 h 722"/>
              <a:gd name="T42" fmla="*/ 1321 w 1925"/>
              <a:gd name="T43" fmla="*/ 361 h 722"/>
              <a:gd name="T44" fmla="*/ 1202 w 1925"/>
              <a:gd name="T45" fmla="*/ 425 h 722"/>
              <a:gd name="T46" fmla="*/ 1080 w 1925"/>
              <a:gd name="T47" fmla="*/ 480 h 722"/>
              <a:gd name="T48" fmla="*/ 961 w 1925"/>
              <a:gd name="T49" fmla="*/ 526 h 722"/>
              <a:gd name="T50" fmla="*/ 841 w 1925"/>
              <a:gd name="T51" fmla="*/ 563 h 722"/>
              <a:gd name="T52" fmla="*/ 723 w 1925"/>
              <a:gd name="T53" fmla="*/ 591 h 722"/>
              <a:gd name="T54" fmla="*/ 609 w 1925"/>
              <a:gd name="T55" fmla="*/ 609 h 722"/>
              <a:gd name="T56" fmla="*/ 497 w 1925"/>
              <a:gd name="T57" fmla="*/ 619 h 722"/>
              <a:gd name="T58" fmla="*/ 390 w 1925"/>
              <a:gd name="T59" fmla="*/ 620 h 722"/>
              <a:gd name="T60" fmla="*/ 287 w 1925"/>
              <a:gd name="T61" fmla="*/ 613 h 722"/>
              <a:gd name="T62" fmla="*/ 187 w 1925"/>
              <a:gd name="T63" fmla="*/ 598 h 722"/>
              <a:gd name="T64" fmla="*/ 97 w 1925"/>
              <a:gd name="T65" fmla="*/ 576 h 722"/>
              <a:gd name="T66" fmla="*/ 11 w 1925"/>
              <a:gd name="T67" fmla="*/ 545 h 722"/>
              <a:gd name="T68" fmla="*/ 5 w 1925"/>
              <a:gd name="T69" fmla="*/ 543 h 722"/>
              <a:gd name="T70" fmla="*/ 0 w 1925"/>
              <a:gd name="T71" fmla="*/ 547 h 722"/>
              <a:gd name="T72" fmla="*/ 3 w 1925"/>
              <a:gd name="T73" fmla="*/ 556 h 722"/>
              <a:gd name="T74" fmla="*/ 20 w 1925"/>
              <a:gd name="T75" fmla="*/ 571 h 722"/>
              <a:gd name="T76" fmla="*/ 36 w 1925"/>
              <a:gd name="T77" fmla="*/ 580 h 7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925" h="722">
                <a:moveTo>
                  <a:pt x="93" y="606"/>
                </a:moveTo>
                <a:lnTo>
                  <a:pt x="93" y="606"/>
                </a:lnTo>
                <a:lnTo>
                  <a:pt x="138" y="626"/>
                </a:lnTo>
                <a:lnTo>
                  <a:pt x="186" y="642"/>
                </a:lnTo>
                <a:lnTo>
                  <a:pt x="235" y="659"/>
                </a:lnTo>
                <a:lnTo>
                  <a:pt x="285" y="674"/>
                </a:lnTo>
                <a:lnTo>
                  <a:pt x="336" y="685"/>
                </a:lnTo>
                <a:lnTo>
                  <a:pt x="390" y="696"/>
                </a:lnTo>
                <a:lnTo>
                  <a:pt x="443" y="705"/>
                </a:lnTo>
                <a:lnTo>
                  <a:pt x="498" y="712"/>
                </a:lnTo>
                <a:lnTo>
                  <a:pt x="556" y="716"/>
                </a:lnTo>
                <a:lnTo>
                  <a:pt x="613" y="720"/>
                </a:lnTo>
                <a:lnTo>
                  <a:pt x="670" y="722"/>
                </a:lnTo>
                <a:lnTo>
                  <a:pt x="729" y="720"/>
                </a:lnTo>
                <a:lnTo>
                  <a:pt x="789" y="718"/>
                </a:lnTo>
                <a:lnTo>
                  <a:pt x="848" y="712"/>
                </a:lnTo>
                <a:lnTo>
                  <a:pt x="909" y="705"/>
                </a:lnTo>
                <a:lnTo>
                  <a:pt x="970" y="694"/>
                </a:lnTo>
                <a:lnTo>
                  <a:pt x="1030" y="683"/>
                </a:lnTo>
                <a:lnTo>
                  <a:pt x="1093" y="668"/>
                </a:lnTo>
                <a:lnTo>
                  <a:pt x="1154" y="652"/>
                </a:lnTo>
                <a:lnTo>
                  <a:pt x="1215" y="633"/>
                </a:lnTo>
                <a:lnTo>
                  <a:pt x="1277" y="611"/>
                </a:lnTo>
                <a:lnTo>
                  <a:pt x="1338" y="587"/>
                </a:lnTo>
                <a:lnTo>
                  <a:pt x="1399" y="560"/>
                </a:lnTo>
                <a:lnTo>
                  <a:pt x="1459" y="530"/>
                </a:lnTo>
                <a:lnTo>
                  <a:pt x="1520" y="497"/>
                </a:lnTo>
                <a:lnTo>
                  <a:pt x="1581" y="464"/>
                </a:lnTo>
                <a:lnTo>
                  <a:pt x="1640" y="425"/>
                </a:lnTo>
                <a:lnTo>
                  <a:pt x="1699" y="385"/>
                </a:lnTo>
                <a:lnTo>
                  <a:pt x="1758" y="340"/>
                </a:lnTo>
                <a:lnTo>
                  <a:pt x="1815" y="294"/>
                </a:lnTo>
                <a:lnTo>
                  <a:pt x="1870" y="247"/>
                </a:lnTo>
                <a:lnTo>
                  <a:pt x="1925" y="193"/>
                </a:lnTo>
                <a:lnTo>
                  <a:pt x="1783" y="0"/>
                </a:lnTo>
                <a:lnTo>
                  <a:pt x="1783" y="0"/>
                </a:lnTo>
                <a:lnTo>
                  <a:pt x="1728" y="55"/>
                </a:lnTo>
                <a:lnTo>
                  <a:pt x="1673" y="107"/>
                </a:lnTo>
                <a:lnTo>
                  <a:pt x="1616" y="154"/>
                </a:lnTo>
                <a:lnTo>
                  <a:pt x="1559" y="200"/>
                </a:lnTo>
                <a:lnTo>
                  <a:pt x="1500" y="245"/>
                </a:lnTo>
                <a:lnTo>
                  <a:pt x="1441" y="285"/>
                </a:lnTo>
                <a:lnTo>
                  <a:pt x="1382" y="324"/>
                </a:lnTo>
                <a:lnTo>
                  <a:pt x="1321" y="361"/>
                </a:lnTo>
                <a:lnTo>
                  <a:pt x="1261" y="394"/>
                </a:lnTo>
                <a:lnTo>
                  <a:pt x="1202" y="425"/>
                </a:lnTo>
                <a:lnTo>
                  <a:pt x="1141" y="455"/>
                </a:lnTo>
                <a:lnTo>
                  <a:pt x="1080" y="480"/>
                </a:lnTo>
                <a:lnTo>
                  <a:pt x="1021" y="504"/>
                </a:lnTo>
                <a:lnTo>
                  <a:pt x="961" y="526"/>
                </a:lnTo>
                <a:lnTo>
                  <a:pt x="900" y="547"/>
                </a:lnTo>
                <a:lnTo>
                  <a:pt x="841" y="563"/>
                </a:lnTo>
                <a:lnTo>
                  <a:pt x="782" y="578"/>
                </a:lnTo>
                <a:lnTo>
                  <a:pt x="723" y="591"/>
                </a:lnTo>
                <a:lnTo>
                  <a:pt x="666" y="600"/>
                </a:lnTo>
                <a:lnTo>
                  <a:pt x="609" y="609"/>
                </a:lnTo>
                <a:lnTo>
                  <a:pt x="552" y="615"/>
                </a:lnTo>
                <a:lnTo>
                  <a:pt x="497" y="619"/>
                </a:lnTo>
                <a:lnTo>
                  <a:pt x="443" y="620"/>
                </a:lnTo>
                <a:lnTo>
                  <a:pt x="390" y="620"/>
                </a:lnTo>
                <a:lnTo>
                  <a:pt x="336" y="619"/>
                </a:lnTo>
                <a:lnTo>
                  <a:pt x="287" y="613"/>
                </a:lnTo>
                <a:lnTo>
                  <a:pt x="237" y="607"/>
                </a:lnTo>
                <a:lnTo>
                  <a:pt x="187" y="598"/>
                </a:lnTo>
                <a:lnTo>
                  <a:pt x="141" y="587"/>
                </a:lnTo>
                <a:lnTo>
                  <a:pt x="97" y="576"/>
                </a:lnTo>
                <a:lnTo>
                  <a:pt x="53" y="561"/>
                </a:lnTo>
                <a:lnTo>
                  <a:pt x="11" y="545"/>
                </a:lnTo>
                <a:lnTo>
                  <a:pt x="11" y="545"/>
                </a:lnTo>
                <a:lnTo>
                  <a:pt x="5" y="543"/>
                </a:lnTo>
                <a:lnTo>
                  <a:pt x="1" y="543"/>
                </a:lnTo>
                <a:lnTo>
                  <a:pt x="0" y="547"/>
                </a:lnTo>
                <a:lnTo>
                  <a:pt x="0" y="550"/>
                </a:lnTo>
                <a:lnTo>
                  <a:pt x="3" y="556"/>
                </a:lnTo>
                <a:lnTo>
                  <a:pt x="11" y="563"/>
                </a:lnTo>
                <a:lnTo>
                  <a:pt x="20" y="571"/>
                </a:lnTo>
                <a:lnTo>
                  <a:pt x="36" y="580"/>
                </a:lnTo>
                <a:lnTo>
                  <a:pt x="36" y="580"/>
                </a:lnTo>
                <a:lnTo>
                  <a:pt x="93" y="606"/>
                </a:lnTo>
                <a:close/>
              </a:path>
            </a:pathLst>
          </a:custGeom>
          <a:solidFill>
            <a:srgbClr val="0078AE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7" name="Freeform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blackGray">
          <a:xfrm>
            <a:off x="7443647" y="560714"/>
            <a:ext cx="250544" cy="93583"/>
          </a:xfrm>
          <a:custGeom>
            <a:avLst/>
            <a:gdLst>
              <a:gd name="T0" fmla="*/ 93 w 1925"/>
              <a:gd name="T1" fmla="*/ 606 h 722"/>
              <a:gd name="T2" fmla="*/ 186 w 1925"/>
              <a:gd name="T3" fmla="*/ 642 h 722"/>
              <a:gd name="T4" fmla="*/ 285 w 1925"/>
              <a:gd name="T5" fmla="*/ 674 h 722"/>
              <a:gd name="T6" fmla="*/ 390 w 1925"/>
              <a:gd name="T7" fmla="*/ 696 h 722"/>
              <a:gd name="T8" fmla="*/ 498 w 1925"/>
              <a:gd name="T9" fmla="*/ 712 h 722"/>
              <a:gd name="T10" fmla="*/ 613 w 1925"/>
              <a:gd name="T11" fmla="*/ 720 h 722"/>
              <a:gd name="T12" fmla="*/ 729 w 1925"/>
              <a:gd name="T13" fmla="*/ 720 h 722"/>
              <a:gd name="T14" fmla="*/ 848 w 1925"/>
              <a:gd name="T15" fmla="*/ 712 h 722"/>
              <a:gd name="T16" fmla="*/ 970 w 1925"/>
              <a:gd name="T17" fmla="*/ 694 h 722"/>
              <a:gd name="T18" fmla="*/ 1093 w 1925"/>
              <a:gd name="T19" fmla="*/ 668 h 722"/>
              <a:gd name="T20" fmla="*/ 1215 w 1925"/>
              <a:gd name="T21" fmla="*/ 633 h 722"/>
              <a:gd name="T22" fmla="*/ 1338 w 1925"/>
              <a:gd name="T23" fmla="*/ 587 h 722"/>
              <a:gd name="T24" fmla="*/ 1459 w 1925"/>
              <a:gd name="T25" fmla="*/ 530 h 722"/>
              <a:gd name="T26" fmla="*/ 1581 w 1925"/>
              <a:gd name="T27" fmla="*/ 464 h 722"/>
              <a:gd name="T28" fmla="*/ 1699 w 1925"/>
              <a:gd name="T29" fmla="*/ 385 h 722"/>
              <a:gd name="T30" fmla="*/ 1815 w 1925"/>
              <a:gd name="T31" fmla="*/ 294 h 722"/>
              <a:gd name="T32" fmla="*/ 1925 w 1925"/>
              <a:gd name="T33" fmla="*/ 193 h 722"/>
              <a:gd name="T34" fmla="*/ 1783 w 1925"/>
              <a:gd name="T35" fmla="*/ 0 h 722"/>
              <a:gd name="T36" fmla="*/ 1673 w 1925"/>
              <a:gd name="T37" fmla="*/ 107 h 722"/>
              <a:gd name="T38" fmla="*/ 1559 w 1925"/>
              <a:gd name="T39" fmla="*/ 200 h 722"/>
              <a:gd name="T40" fmla="*/ 1441 w 1925"/>
              <a:gd name="T41" fmla="*/ 285 h 722"/>
              <a:gd name="T42" fmla="*/ 1321 w 1925"/>
              <a:gd name="T43" fmla="*/ 361 h 722"/>
              <a:gd name="T44" fmla="*/ 1202 w 1925"/>
              <a:gd name="T45" fmla="*/ 425 h 722"/>
              <a:gd name="T46" fmla="*/ 1080 w 1925"/>
              <a:gd name="T47" fmla="*/ 480 h 722"/>
              <a:gd name="T48" fmla="*/ 961 w 1925"/>
              <a:gd name="T49" fmla="*/ 526 h 722"/>
              <a:gd name="T50" fmla="*/ 841 w 1925"/>
              <a:gd name="T51" fmla="*/ 563 h 722"/>
              <a:gd name="T52" fmla="*/ 723 w 1925"/>
              <a:gd name="T53" fmla="*/ 591 h 722"/>
              <a:gd name="T54" fmla="*/ 609 w 1925"/>
              <a:gd name="T55" fmla="*/ 609 h 722"/>
              <a:gd name="T56" fmla="*/ 497 w 1925"/>
              <a:gd name="T57" fmla="*/ 619 h 722"/>
              <a:gd name="T58" fmla="*/ 390 w 1925"/>
              <a:gd name="T59" fmla="*/ 620 h 722"/>
              <a:gd name="T60" fmla="*/ 287 w 1925"/>
              <a:gd name="T61" fmla="*/ 613 h 722"/>
              <a:gd name="T62" fmla="*/ 187 w 1925"/>
              <a:gd name="T63" fmla="*/ 598 h 722"/>
              <a:gd name="T64" fmla="*/ 97 w 1925"/>
              <a:gd name="T65" fmla="*/ 576 h 722"/>
              <a:gd name="T66" fmla="*/ 11 w 1925"/>
              <a:gd name="T67" fmla="*/ 545 h 722"/>
              <a:gd name="T68" fmla="*/ 5 w 1925"/>
              <a:gd name="T69" fmla="*/ 543 h 722"/>
              <a:gd name="T70" fmla="*/ 0 w 1925"/>
              <a:gd name="T71" fmla="*/ 547 h 722"/>
              <a:gd name="T72" fmla="*/ 3 w 1925"/>
              <a:gd name="T73" fmla="*/ 556 h 722"/>
              <a:gd name="T74" fmla="*/ 20 w 1925"/>
              <a:gd name="T75" fmla="*/ 571 h 722"/>
              <a:gd name="T76" fmla="*/ 36 w 1925"/>
              <a:gd name="T77" fmla="*/ 580 h 7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925" h="722">
                <a:moveTo>
                  <a:pt x="93" y="606"/>
                </a:moveTo>
                <a:lnTo>
                  <a:pt x="93" y="606"/>
                </a:lnTo>
                <a:lnTo>
                  <a:pt x="138" y="626"/>
                </a:lnTo>
                <a:lnTo>
                  <a:pt x="186" y="642"/>
                </a:lnTo>
                <a:lnTo>
                  <a:pt x="235" y="659"/>
                </a:lnTo>
                <a:lnTo>
                  <a:pt x="285" y="674"/>
                </a:lnTo>
                <a:lnTo>
                  <a:pt x="336" y="685"/>
                </a:lnTo>
                <a:lnTo>
                  <a:pt x="390" y="696"/>
                </a:lnTo>
                <a:lnTo>
                  <a:pt x="443" y="705"/>
                </a:lnTo>
                <a:lnTo>
                  <a:pt x="498" y="712"/>
                </a:lnTo>
                <a:lnTo>
                  <a:pt x="556" y="716"/>
                </a:lnTo>
                <a:lnTo>
                  <a:pt x="613" y="720"/>
                </a:lnTo>
                <a:lnTo>
                  <a:pt x="670" y="722"/>
                </a:lnTo>
                <a:lnTo>
                  <a:pt x="729" y="720"/>
                </a:lnTo>
                <a:lnTo>
                  <a:pt x="789" y="718"/>
                </a:lnTo>
                <a:lnTo>
                  <a:pt x="848" y="712"/>
                </a:lnTo>
                <a:lnTo>
                  <a:pt x="909" y="705"/>
                </a:lnTo>
                <a:lnTo>
                  <a:pt x="970" y="694"/>
                </a:lnTo>
                <a:lnTo>
                  <a:pt x="1030" y="683"/>
                </a:lnTo>
                <a:lnTo>
                  <a:pt x="1093" y="668"/>
                </a:lnTo>
                <a:lnTo>
                  <a:pt x="1154" y="652"/>
                </a:lnTo>
                <a:lnTo>
                  <a:pt x="1215" y="633"/>
                </a:lnTo>
                <a:lnTo>
                  <a:pt x="1277" y="611"/>
                </a:lnTo>
                <a:lnTo>
                  <a:pt x="1338" y="587"/>
                </a:lnTo>
                <a:lnTo>
                  <a:pt x="1399" y="560"/>
                </a:lnTo>
                <a:lnTo>
                  <a:pt x="1459" y="530"/>
                </a:lnTo>
                <a:lnTo>
                  <a:pt x="1520" y="497"/>
                </a:lnTo>
                <a:lnTo>
                  <a:pt x="1581" y="464"/>
                </a:lnTo>
                <a:lnTo>
                  <a:pt x="1640" y="425"/>
                </a:lnTo>
                <a:lnTo>
                  <a:pt x="1699" y="385"/>
                </a:lnTo>
                <a:lnTo>
                  <a:pt x="1758" y="340"/>
                </a:lnTo>
                <a:lnTo>
                  <a:pt x="1815" y="294"/>
                </a:lnTo>
                <a:lnTo>
                  <a:pt x="1870" y="247"/>
                </a:lnTo>
                <a:lnTo>
                  <a:pt x="1925" y="193"/>
                </a:lnTo>
                <a:lnTo>
                  <a:pt x="1783" y="0"/>
                </a:lnTo>
                <a:lnTo>
                  <a:pt x="1783" y="0"/>
                </a:lnTo>
                <a:lnTo>
                  <a:pt x="1728" y="55"/>
                </a:lnTo>
                <a:lnTo>
                  <a:pt x="1673" y="107"/>
                </a:lnTo>
                <a:lnTo>
                  <a:pt x="1616" y="154"/>
                </a:lnTo>
                <a:lnTo>
                  <a:pt x="1559" y="200"/>
                </a:lnTo>
                <a:lnTo>
                  <a:pt x="1500" y="245"/>
                </a:lnTo>
                <a:lnTo>
                  <a:pt x="1441" y="285"/>
                </a:lnTo>
                <a:lnTo>
                  <a:pt x="1382" y="324"/>
                </a:lnTo>
                <a:lnTo>
                  <a:pt x="1321" y="361"/>
                </a:lnTo>
                <a:lnTo>
                  <a:pt x="1261" y="394"/>
                </a:lnTo>
                <a:lnTo>
                  <a:pt x="1202" y="425"/>
                </a:lnTo>
                <a:lnTo>
                  <a:pt x="1141" y="455"/>
                </a:lnTo>
                <a:lnTo>
                  <a:pt x="1080" y="480"/>
                </a:lnTo>
                <a:lnTo>
                  <a:pt x="1021" y="504"/>
                </a:lnTo>
                <a:lnTo>
                  <a:pt x="961" y="526"/>
                </a:lnTo>
                <a:lnTo>
                  <a:pt x="900" y="547"/>
                </a:lnTo>
                <a:lnTo>
                  <a:pt x="841" y="563"/>
                </a:lnTo>
                <a:lnTo>
                  <a:pt x="782" y="578"/>
                </a:lnTo>
                <a:lnTo>
                  <a:pt x="723" y="591"/>
                </a:lnTo>
                <a:lnTo>
                  <a:pt x="666" y="600"/>
                </a:lnTo>
                <a:lnTo>
                  <a:pt x="609" y="609"/>
                </a:lnTo>
                <a:lnTo>
                  <a:pt x="552" y="615"/>
                </a:lnTo>
                <a:lnTo>
                  <a:pt x="497" y="619"/>
                </a:lnTo>
                <a:lnTo>
                  <a:pt x="443" y="620"/>
                </a:lnTo>
                <a:lnTo>
                  <a:pt x="390" y="620"/>
                </a:lnTo>
                <a:lnTo>
                  <a:pt x="336" y="619"/>
                </a:lnTo>
                <a:lnTo>
                  <a:pt x="287" y="613"/>
                </a:lnTo>
                <a:lnTo>
                  <a:pt x="237" y="607"/>
                </a:lnTo>
                <a:lnTo>
                  <a:pt x="187" y="598"/>
                </a:lnTo>
                <a:lnTo>
                  <a:pt x="141" y="587"/>
                </a:lnTo>
                <a:lnTo>
                  <a:pt x="97" y="576"/>
                </a:lnTo>
                <a:lnTo>
                  <a:pt x="53" y="561"/>
                </a:lnTo>
                <a:lnTo>
                  <a:pt x="11" y="545"/>
                </a:lnTo>
                <a:lnTo>
                  <a:pt x="11" y="545"/>
                </a:lnTo>
                <a:lnTo>
                  <a:pt x="5" y="543"/>
                </a:lnTo>
                <a:lnTo>
                  <a:pt x="1" y="543"/>
                </a:lnTo>
                <a:lnTo>
                  <a:pt x="0" y="547"/>
                </a:lnTo>
                <a:lnTo>
                  <a:pt x="0" y="550"/>
                </a:lnTo>
                <a:lnTo>
                  <a:pt x="3" y="556"/>
                </a:lnTo>
                <a:lnTo>
                  <a:pt x="11" y="563"/>
                </a:lnTo>
                <a:lnTo>
                  <a:pt x="20" y="571"/>
                </a:lnTo>
                <a:lnTo>
                  <a:pt x="36" y="580"/>
                </a:lnTo>
                <a:lnTo>
                  <a:pt x="36" y="580"/>
                </a:lnTo>
                <a:lnTo>
                  <a:pt x="93" y="606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8" name="Freeform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/>
          </xdr:cNvSpPr>
        </xdr:nvSpPr>
        <xdr:spPr bwMode="blackGray">
          <a:xfrm>
            <a:off x="7471962" y="623389"/>
            <a:ext cx="234241" cy="60099"/>
          </a:xfrm>
          <a:custGeom>
            <a:avLst/>
            <a:gdLst>
              <a:gd name="T0" fmla="*/ 77 w 1802"/>
              <a:gd name="T1" fmla="*/ 284 h 459"/>
              <a:gd name="T2" fmla="*/ 195 w 1802"/>
              <a:gd name="T3" fmla="*/ 334 h 459"/>
              <a:gd name="T4" fmla="*/ 313 w 1802"/>
              <a:gd name="T5" fmla="*/ 374 h 459"/>
              <a:gd name="T6" fmla="*/ 431 w 1802"/>
              <a:gd name="T7" fmla="*/ 407 h 459"/>
              <a:gd name="T8" fmla="*/ 547 w 1802"/>
              <a:gd name="T9" fmla="*/ 431 h 459"/>
              <a:gd name="T10" fmla="*/ 664 w 1802"/>
              <a:gd name="T11" fmla="*/ 448 h 459"/>
              <a:gd name="T12" fmla="*/ 778 w 1802"/>
              <a:gd name="T13" fmla="*/ 457 h 459"/>
              <a:gd name="T14" fmla="*/ 893 w 1802"/>
              <a:gd name="T15" fmla="*/ 459 h 459"/>
              <a:gd name="T16" fmla="*/ 1005 w 1802"/>
              <a:gd name="T17" fmla="*/ 453 h 459"/>
              <a:gd name="T18" fmla="*/ 1115 w 1802"/>
              <a:gd name="T19" fmla="*/ 440 h 459"/>
              <a:gd name="T20" fmla="*/ 1222 w 1802"/>
              <a:gd name="T21" fmla="*/ 422 h 459"/>
              <a:gd name="T22" fmla="*/ 1327 w 1802"/>
              <a:gd name="T23" fmla="*/ 396 h 459"/>
              <a:gd name="T24" fmla="*/ 1428 w 1802"/>
              <a:gd name="T25" fmla="*/ 365 h 459"/>
              <a:gd name="T26" fmla="*/ 1528 w 1802"/>
              <a:gd name="T27" fmla="*/ 328 h 459"/>
              <a:gd name="T28" fmla="*/ 1623 w 1802"/>
              <a:gd name="T29" fmla="*/ 286 h 459"/>
              <a:gd name="T30" fmla="*/ 1714 w 1802"/>
              <a:gd name="T31" fmla="*/ 238 h 459"/>
              <a:gd name="T32" fmla="*/ 1802 w 1802"/>
              <a:gd name="T33" fmla="*/ 186 h 459"/>
              <a:gd name="T34" fmla="*/ 1662 w 1802"/>
              <a:gd name="T35" fmla="*/ 0 h 459"/>
              <a:gd name="T36" fmla="*/ 1570 w 1802"/>
              <a:gd name="T37" fmla="*/ 61 h 459"/>
              <a:gd name="T38" fmla="*/ 1474 w 1802"/>
              <a:gd name="T39" fmla="*/ 116 h 459"/>
              <a:gd name="T40" fmla="*/ 1375 w 1802"/>
              <a:gd name="T41" fmla="*/ 166 h 459"/>
              <a:gd name="T42" fmla="*/ 1274 w 1802"/>
              <a:gd name="T43" fmla="*/ 208 h 459"/>
              <a:gd name="T44" fmla="*/ 1169 w 1802"/>
              <a:gd name="T45" fmla="*/ 245 h 459"/>
              <a:gd name="T46" fmla="*/ 1062 w 1802"/>
              <a:gd name="T47" fmla="*/ 277 h 459"/>
              <a:gd name="T48" fmla="*/ 955 w 1802"/>
              <a:gd name="T49" fmla="*/ 300 h 459"/>
              <a:gd name="T50" fmla="*/ 847 w 1802"/>
              <a:gd name="T51" fmla="*/ 321 h 459"/>
              <a:gd name="T52" fmla="*/ 738 w 1802"/>
              <a:gd name="T53" fmla="*/ 332 h 459"/>
              <a:gd name="T54" fmla="*/ 629 w 1802"/>
              <a:gd name="T55" fmla="*/ 337 h 459"/>
              <a:gd name="T56" fmla="*/ 523 w 1802"/>
              <a:gd name="T57" fmla="*/ 337 h 459"/>
              <a:gd name="T58" fmla="*/ 416 w 1802"/>
              <a:gd name="T59" fmla="*/ 330 h 459"/>
              <a:gd name="T60" fmla="*/ 313 w 1802"/>
              <a:gd name="T61" fmla="*/ 315 h 459"/>
              <a:gd name="T62" fmla="*/ 212 w 1802"/>
              <a:gd name="T63" fmla="*/ 293 h 459"/>
              <a:gd name="T64" fmla="*/ 114 w 1802"/>
              <a:gd name="T65" fmla="*/ 265 h 459"/>
              <a:gd name="T66" fmla="*/ 18 w 1802"/>
              <a:gd name="T67" fmla="*/ 230 h 459"/>
              <a:gd name="T68" fmla="*/ 11 w 1802"/>
              <a:gd name="T69" fmla="*/ 227 h 459"/>
              <a:gd name="T70" fmla="*/ 0 w 1802"/>
              <a:gd name="T71" fmla="*/ 229 h 459"/>
              <a:gd name="T72" fmla="*/ 2 w 1802"/>
              <a:gd name="T73" fmla="*/ 238 h 459"/>
              <a:gd name="T74" fmla="*/ 18 w 1802"/>
              <a:gd name="T75" fmla="*/ 253 h 459"/>
              <a:gd name="T76" fmla="*/ 33 w 1802"/>
              <a:gd name="T77" fmla="*/ 264 h 4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802" h="459">
                <a:moveTo>
                  <a:pt x="77" y="284"/>
                </a:moveTo>
                <a:lnTo>
                  <a:pt x="77" y="284"/>
                </a:lnTo>
                <a:lnTo>
                  <a:pt x="136" y="310"/>
                </a:lnTo>
                <a:lnTo>
                  <a:pt x="195" y="334"/>
                </a:lnTo>
                <a:lnTo>
                  <a:pt x="254" y="356"/>
                </a:lnTo>
                <a:lnTo>
                  <a:pt x="313" y="374"/>
                </a:lnTo>
                <a:lnTo>
                  <a:pt x="372" y="393"/>
                </a:lnTo>
                <a:lnTo>
                  <a:pt x="431" y="407"/>
                </a:lnTo>
                <a:lnTo>
                  <a:pt x="489" y="420"/>
                </a:lnTo>
                <a:lnTo>
                  <a:pt x="547" y="431"/>
                </a:lnTo>
                <a:lnTo>
                  <a:pt x="605" y="440"/>
                </a:lnTo>
                <a:lnTo>
                  <a:pt x="664" y="448"/>
                </a:lnTo>
                <a:lnTo>
                  <a:pt x="721" y="453"/>
                </a:lnTo>
                <a:lnTo>
                  <a:pt x="778" y="457"/>
                </a:lnTo>
                <a:lnTo>
                  <a:pt x="836" y="459"/>
                </a:lnTo>
                <a:lnTo>
                  <a:pt x="893" y="459"/>
                </a:lnTo>
                <a:lnTo>
                  <a:pt x="950" y="457"/>
                </a:lnTo>
                <a:lnTo>
                  <a:pt x="1005" y="453"/>
                </a:lnTo>
                <a:lnTo>
                  <a:pt x="1060" y="448"/>
                </a:lnTo>
                <a:lnTo>
                  <a:pt x="1115" y="440"/>
                </a:lnTo>
                <a:lnTo>
                  <a:pt x="1169" y="431"/>
                </a:lnTo>
                <a:lnTo>
                  <a:pt x="1222" y="422"/>
                </a:lnTo>
                <a:lnTo>
                  <a:pt x="1276" y="409"/>
                </a:lnTo>
                <a:lnTo>
                  <a:pt x="1327" y="396"/>
                </a:lnTo>
                <a:lnTo>
                  <a:pt x="1379" y="381"/>
                </a:lnTo>
                <a:lnTo>
                  <a:pt x="1428" y="365"/>
                </a:lnTo>
                <a:lnTo>
                  <a:pt x="1478" y="348"/>
                </a:lnTo>
                <a:lnTo>
                  <a:pt x="1528" y="328"/>
                </a:lnTo>
                <a:lnTo>
                  <a:pt x="1576" y="308"/>
                </a:lnTo>
                <a:lnTo>
                  <a:pt x="1623" y="286"/>
                </a:lnTo>
                <a:lnTo>
                  <a:pt x="1669" y="264"/>
                </a:lnTo>
                <a:lnTo>
                  <a:pt x="1714" y="238"/>
                </a:lnTo>
                <a:lnTo>
                  <a:pt x="1758" y="212"/>
                </a:lnTo>
                <a:lnTo>
                  <a:pt x="1802" y="186"/>
                </a:lnTo>
                <a:lnTo>
                  <a:pt x="1662" y="0"/>
                </a:lnTo>
                <a:lnTo>
                  <a:pt x="1662" y="0"/>
                </a:lnTo>
                <a:lnTo>
                  <a:pt x="1616" y="32"/>
                </a:lnTo>
                <a:lnTo>
                  <a:pt x="1570" y="61"/>
                </a:lnTo>
                <a:lnTo>
                  <a:pt x="1522" y="89"/>
                </a:lnTo>
                <a:lnTo>
                  <a:pt x="1474" y="116"/>
                </a:lnTo>
                <a:lnTo>
                  <a:pt x="1425" y="142"/>
                </a:lnTo>
                <a:lnTo>
                  <a:pt x="1375" y="166"/>
                </a:lnTo>
                <a:lnTo>
                  <a:pt x="1325" y="188"/>
                </a:lnTo>
                <a:lnTo>
                  <a:pt x="1274" y="208"/>
                </a:lnTo>
                <a:lnTo>
                  <a:pt x="1220" y="227"/>
                </a:lnTo>
                <a:lnTo>
                  <a:pt x="1169" y="245"/>
                </a:lnTo>
                <a:lnTo>
                  <a:pt x="1115" y="262"/>
                </a:lnTo>
                <a:lnTo>
                  <a:pt x="1062" y="277"/>
                </a:lnTo>
                <a:lnTo>
                  <a:pt x="1009" y="289"/>
                </a:lnTo>
                <a:lnTo>
                  <a:pt x="955" y="300"/>
                </a:lnTo>
                <a:lnTo>
                  <a:pt x="900" y="311"/>
                </a:lnTo>
                <a:lnTo>
                  <a:pt x="847" y="321"/>
                </a:lnTo>
                <a:lnTo>
                  <a:pt x="791" y="326"/>
                </a:lnTo>
                <a:lnTo>
                  <a:pt x="738" y="332"/>
                </a:lnTo>
                <a:lnTo>
                  <a:pt x="683" y="335"/>
                </a:lnTo>
                <a:lnTo>
                  <a:pt x="629" y="337"/>
                </a:lnTo>
                <a:lnTo>
                  <a:pt x="576" y="337"/>
                </a:lnTo>
                <a:lnTo>
                  <a:pt x="523" y="337"/>
                </a:lnTo>
                <a:lnTo>
                  <a:pt x="469" y="334"/>
                </a:lnTo>
                <a:lnTo>
                  <a:pt x="416" y="330"/>
                </a:lnTo>
                <a:lnTo>
                  <a:pt x="364" y="323"/>
                </a:lnTo>
                <a:lnTo>
                  <a:pt x="313" y="315"/>
                </a:lnTo>
                <a:lnTo>
                  <a:pt x="261" y="306"/>
                </a:lnTo>
                <a:lnTo>
                  <a:pt x="212" y="293"/>
                </a:lnTo>
                <a:lnTo>
                  <a:pt x="162" y="280"/>
                </a:lnTo>
                <a:lnTo>
                  <a:pt x="114" y="265"/>
                </a:lnTo>
                <a:lnTo>
                  <a:pt x="66" y="249"/>
                </a:lnTo>
                <a:lnTo>
                  <a:pt x="18" y="230"/>
                </a:lnTo>
                <a:lnTo>
                  <a:pt x="18" y="230"/>
                </a:lnTo>
                <a:lnTo>
                  <a:pt x="11" y="227"/>
                </a:lnTo>
                <a:lnTo>
                  <a:pt x="5" y="227"/>
                </a:lnTo>
                <a:lnTo>
                  <a:pt x="0" y="229"/>
                </a:lnTo>
                <a:lnTo>
                  <a:pt x="0" y="232"/>
                </a:lnTo>
                <a:lnTo>
                  <a:pt x="2" y="238"/>
                </a:lnTo>
                <a:lnTo>
                  <a:pt x="7" y="245"/>
                </a:lnTo>
                <a:lnTo>
                  <a:pt x="18" y="253"/>
                </a:lnTo>
                <a:lnTo>
                  <a:pt x="33" y="264"/>
                </a:lnTo>
                <a:lnTo>
                  <a:pt x="33" y="264"/>
                </a:lnTo>
                <a:lnTo>
                  <a:pt x="77" y="284"/>
                </a:lnTo>
                <a:close/>
              </a:path>
            </a:pathLst>
          </a:custGeom>
          <a:solidFill>
            <a:srgbClr val="0078AE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29" name="Freeform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/>
          </xdr:cNvSpPr>
        </xdr:nvSpPr>
        <xdr:spPr bwMode="blackGray">
          <a:xfrm>
            <a:off x="7471962" y="623389"/>
            <a:ext cx="234241" cy="60099"/>
          </a:xfrm>
          <a:custGeom>
            <a:avLst/>
            <a:gdLst>
              <a:gd name="T0" fmla="*/ 77 w 1802"/>
              <a:gd name="T1" fmla="*/ 284 h 459"/>
              <a:gd name="T2" fmla="*/ 195 w 1802"/>
              <a:gd name="T3" fmla="*/ 334 h 459"/>
              <a:gd name="T4" fmla="*/ 313 w 1802"/>
              <a:gd name="T5" fmla="*/ 374 h 459"/>
              <a:gd name="T6" fmla="*/ 431 w 1802"/>
              <a:gd name="T7" fmla="*/ 407 h 459"/>
              <a:gd name="T8" fmla="*/ 547 w 1802"/>
              <a:gd name="T9" fmla="*/ 431 h 459"/>
              <a:gd name="T10" fmla="*/ 664 w 1802"/>
              <a:gd name="T11" fmla="*/ 448 h 459"/>
              <a:gd name="T12" fmla="*/ 778 w 1802"/>
              <a:gd name="T13" fmla="*/ 457 h 459"/>
              <a:gd name="T14" fmla="*/ 893 w 1802"/>
              <a:gd name="T15" fmla="*/ 459 h 459"/>
              <a:gd name="T16" fmla="*/ 1005 w 1802"/>
              <a:gd name="T17" fmla="*/ 453 h 459"/>
              <a:gd name="T18" fmla="*/ 1115 w 1802"/>
              <a:gd name="T19" fmla="*/ 440 h 459"/>
              <a:gd name="T20" fmla="*/ 1222 w 1802"/>
              <a:gd name="T21" fmla="*/ 422 h 459"/>
              <a:gd name="T22" fmla="*/ 1327 w 1802"/>
              <a:gd name="T23" fmla="*/ 396 h 459"/>
              <a:gd name="T24" fmla="*/ 1428 w 1802"/>
              <a:gd name="T25" fmla="*/ 365 h 459"/>
              <a:gd name="T26" fmla="*/ 1528 w 1802"/>
              <a:gd name="T27" fmla="*/ 328 h 459"/>
              <a:gd name="T28" fmla="*/ 1623 w 1802"/>
              <a:gd name="T29" fmla="*/ 286 h 459"/>
              <a:gd name="T30" fmla="*/ 1714 w 1802"/>
              <a:gd name="T31" fmla="*/ 238 h 459"/>
              <a:gd name="T32" fmla="*/ 1802 w 1802"/>
              <a:gd name="T33" fmla="*/ 186 h 459"/>
              <a:gd name="T34" fmla="*/ 1662 w 1802"/>
              <a:gd name="T35" fmla="*/ 0 h 459"/>
              <a:gd name="T36" fmla="*/ 1570 w 1802"/>
              <a:gd name="T37" fmla="*/ 61 h 459"/>
              <a:gd name="T38" fmla="*/ 1474 w 1802"/>
              <a:gd name="T39" fmla="*/ 116 h 459"/>
              <a:gd name="T40" fmla="*/ 1375 w 1802"/>
              <a:gd name="T41" fmla="*/ 166 h 459"/>
              <a:gd name="T42" fmla="*/ 1274 w 1802"/>
              <a:gd name="T43" fmla="*/ 208 h 459"/>
              <a:gd name="T44" fmla="*/ 1169 w 1802"/>
              <a:gd name="T45" fmla="*/ 245 h 459"/>
              <a:gd name="T46" fmla="*/ 1062 w 1802"/>
              <a:gd name="T47" fmla="*/ 277 h 459"/>
              <a:gd name="T48" fmla="*/ 955 w 1802"/>
              <a:gd name="T49" fmla="*/ 300 h 459"/>
              <a:gd name="T50" fmla="*/ 847 w 1802"/>
              <a:gd name="T51" fmla="*/ 321 h 459"/>
              <a:gd name="T52" fmla="*/ 738 w 1802"/>
              <a:gd name="T53" fmla="*/ 332 h 459"/>
              <a:gd name="T54" fmla="*/ 629 w 1802"/>
              <a:gd name="T55" fmla="*/ 337 h 459"/>
              <a:gd name="T56" fmla="*/ 523 w 1802"/>
              <a:gd name="T57" fmla="*/ 337 h 459"/>
              <a:gd name="T58" fmla="*/ 416 w 1802"/>
              <a:gd name="T59" fmla="*/ 330 h 459"/>
              <a:gd name="T60" fmla="*/ 313 w 1802"/>
              <a:gd name="T61" fmla="*/ 315 h 459"/>
              <a:gd name="T62" fmla="*/ 212 w 1802"/>
              <a:gd name="T63" fmla="*/ 293 h 459"/>
              <a:gd name="T64" fmla="*/ 114 w 1802"/>
              <a:gd name="T65" fmla="*/ 265 h 459"/>
              <a:gd name="T66" fmla="*/ 18 w 1802"/>
              <a:gd name="T67" fmla="*/ 230 h 459"/>
              <a:gd name="T68" fmla="*/ 11 w 1802"/>
              <a:gd name="T69" fmla="*/ 227 h 459"/>
              <a:gd name="T70" fmla="*/ 0 w 1802"/>
              <a:gd name="T71" fmla="*/ 229 h 459"/>
              <a:gd name="T72" fmla="*/ 2 w 1802"/>
              <a:gd name="T73" fmla="*/ 238 h 459"/>
              <a:gd name="T74" fmla="*/ 18 w 1802"/>
              <a:gd name="T75" fmla="*/ 253 h 459"/>
              <a:gd name="T76" fmla="*/ 33 w 1802"/>
              <a:gd name="T77" fmla="*/ 264 h 4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802" h="459">
                <a:moveTo>
                  <a:pt x="77" y="284"/>
                </a:moveTo>
                <a:lnTo>
                  <a:pt x="77" y="284"/>
                </a:lnTo>
                <a:lnTo>
                  <a:pt x="136" y="310"/>
                </a:lnTo>
                <a:lnTo>
                  <a:pt x="195" y="334"/>
                </a:lnTo>
                <a:lnTo>
                  <a:pt x="254" y="356"/>
                </a:lnTo>
                <a:lnTo>
                  <a:pt x="313" y="374"/>
                </a:lnTo>
                <a:lnTo>
                  <a:pt x="372" y="393"/>
                </a:lnTo>
                <a:lnTo>
                  <a:pt x="431" y="407"/>
                </a:lnTo>
                <a:lnTo>
                  <a:pt x="489" y="420"/>
                </a:lnTo>
                <a:lnTo>
                  <a:pt x="547" y="431"/>
                </a:lnTo>
                <a:lnTo>
                  <a:pt x="605" y="440"/>
                </a:lnTo>
                <a:lnTo>
                  <a:pt x="664" y="448"/>
                </a:lnTo>
                <a:lnTo>
                  <a:pt x="721" y="453"/>
                </a:lnTo>
                <a:lnTo>
                  <a:pt x="778" y="457"/>
                </a:lnTo>
                <a:lnTo>
                  <a:pt x="836" y="459"/>
                </a:lnTo>
                <a:lnTo>
                  <a:pt x="893" y="459"/>
                </a:lnTo>
                <a:lnTo>
                  <a:pt x="950" y="457"/>
                </a:lnTo>
                <a:lnTo>
                  <a:pt x="1005" y="453"/>
                </a:lnTo>
                <a:lnTo>
                  <a:pt x="1060" y="448"/>
                </a:lnTo>
                <a:lnTo>
                  <a:pt x="1115" y="440"/>
                </a:lnTo>
                <a:lnTo>
                  <a:pt x="1169" y="431"/>
                </a:lnTo>
                <a:lnTo>
                  <a:pt x="1222" y="422"/>
                </a:lnTo>
                <a:lnTo>
                  <a:pt x="1276" y="409"/>
                </a:lnTo>
                <a:lnTo>
                  <a:pt x="1327" y="396"/>
                </a:lnTo>
                <a:lnTo>
                  <a:pt x="1379" y="381"/>
                </a:lnTo>
                <a:lnTo>
                  <a:pt x="1428" y="365"/>
                </a:lnTo>
                <a:lnTo>
                  <a:pt x="1478" y="348"/>
                </a:lnTo>
                <a:lnTo>
                  <a:pt x="1528" y="328"/>
                </a:lnTo>
                <a:lnTo>
                  <a:pt x="1576" y="308"/>
                </a:lnTo>
                <a:lnTo>
                  <a:pt x="1623" y="286"/>
                </a:lnTo>
                <a:lnTo>
                  <a:pt x="1669" y="264"/>
                </a:lnTo>
                <a:lnTo>
                  <a:pt x="1714" y="238"/>
                </a:lnTo>
                <a:lnTo>
                  <a:pt x="1758" y="212"/>
                </a:lnTo>
                <a:lnTo>
                  <a:pt x="1802" y="186"/>
                </a:lnTo>
                <a:lnTo>
                  <a:pt x="1662" y="0"/>
                </a:lnTo>
                <a:lnTo>
                  <a:pt x="1662" y="0"/>
                </a:lnTo>
                <a:lnTo>
                  <a:pt x="1616" y="32"/>
                </a:lnTo>
                <a:lnTo>
                  <a:pt x="1570" y="61"/>
                </a:lnTo>
                <a:lnTo>
                  <a:pt x="1522" y="89"/>
                </a:lnTo>
                <a:lnTo>
                  <a:pt x="1474" y="116"/>
                </a:lnTo>
                <a:lnTo>
                  <a:pt x="1425" y="142"/>
                </a:lnTo>
                <a:lnTo>
                  <a:pt x="1375" y="166"/>
                </a:lnTo>
                <a:lnTo>
                  <a:pt x="1325" y="188"/>
                </a:lnTo>
                <a:lnTo>
                  <a:pt x="1274" y="208"/>
                </a:lnTo>
                <a:lnTo>
                  <a:pt x="1220" y="227"/>
                </a:lnTo>
                <a:lnTo>
                  <a:pt x="1169" y="245"/>
                </a:lnTo>
                <a:lnTo>
                  <a:pt x="1115" y="262"/>
                </a:lnTo>
                <a:lnTo>
                  <a:pt x="1062" y="277"/>
                </a:lnTo>
                <a:lnTo>
                  <a:pt x="1009" y="289"/>
                </a:lnTo>
                <a:lnTo>
                  <a:pt x="955" y="300"/>
                </a:lnTo>
                <a:lnTo>
                  <a:pt x="900" y="311"/>
                </a:lnTo>
                <a:lnTo>
                  <a:pt x="847" y="321"/>
                </a:lnTo>
                <a:lnTo>
                  <a:pt x="791" y="326"/>
                </a:lnTo>
                <a:lnTo>
                  <a:pt x="738" y="332"/>
                </a:lnTo>
                <a:lnTo>
                  <a:pt x="683" y="335"/>
                </a:lnTo>
                <a:lnTo>
                  <a:pt x="629" y="337"/>
                </a:lnTo>
                <a:lnTo>
                  <a:pt x="576" y="337"/>
                </a:lnTo>
                <a:lnTo>
                  <a:pt x="523" y="337"/>
                </a:lnTo>
                <a:lnTo>
                  <a:pt x="469" y="334"/>
                </a:lnTo>
                <a:lnTo>
                  <a:pt x="416" y="330"/>
                </a:lnTo>
                <a:lnTo>
                  <a:pt x="364" y="323"/>
                </a:lnTo>
                <a:lnTo>
                  <a:pt x="313" y="315"/>
                </a:lnTo>
                <a:lnTo>
                  <a:pt x="261" y="306"/>
                </a:lnTo>
                <a:lnTo>
                  <a:pt x="212" y="293"/>
                </a:lnTo>
                <a:lnTo>
                  <a:pt x="162" y="280"/>
                </a:lnTo>
                <a:lnTo>
                  <a:pt x="114" y="265"/>
                </a:lnTo>
                <a:lnTo>
                  <a:pt x="66" y="249"/>
                </a:lnTo>
                <a:lnTo>
                  <a:pt x="18" y="230"/>
                </a:lnTo>
                <a:lnTo>
                  <a:pt x="18" y="230"/>
                </a:lnTo>
                <a:lnTo>
                  <a:pt x="11" y="227"/>
                </a:lnTo>
                <a:lnTo>
                  <a:pt x="5" y="227"/>
                </a:lnTo>
                <a:lnTo>
                  <a:pt x="0" y="229"/>
                </a:lnTo>
                <a:lnTo>
                  <a:pt x="0" y="232"/>
                </a:lnTo>
                <a:lnTo>
                  <a:pt x="2" y="238"/>
                </a:lnTo>
                <a:lnTo>
                  <a:pt x="7" y="245"/>
                </a:lnTo>
                <a:lnTo>
                  <a:pt x="18" y="253"/>
                </a:lnTo>
                <a:lnTo>
                  <a:pt x="33" y="264"/>
                </a:lnTo>
                <a:lnTo>
                  <a:pt x="33" y="264"/>
                </a:lnTo>
                <a:lnTo>
                  <a:pt x="77" y="284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0" name="Freeform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/>
          </xdr:cNvSpPr>
        </xdr:nvSpPr>
        <xdr:spPr bwMode="blackGray">
          <a:xfrm>
            <a:off x="7435925" y="534958"/>
            <a:ext cx="202494" cy="93583"/>
          </a:xfrm>
          <a:custGeom>
            <a:avLst/>
            <a:gdLst>
              <a:gd name="T0" fmla="*/ 73 w 1557"/>
              <a:gd name="T1" fmla="*/ 688 h 716"/>
              <a:gd name="T2" fmla="*/ 149 w 1557"/>
              <a:gd name="T3" fmla="*/ 703 h 716"/>
              <a:gd name="T4" fmla="*/ 226 w 1557"/>
              <a:gd name="T5" fmla="*/ 712 h 716"/>
              <a:gd name="T6" fmla="*/ 309 w 1557"/>
              <a:gd name="T7" fmla="*/ 716 h 716"/>
              <a:gd name="T8" fmla="*/ 393 w 1557"/>
              <a:gd name="T9" fmla="*/ 714 h 716"/>
              <a:gd name="T10" fmla="*/ 482 w 1557"/>
              <a:gd name="T11" fmla="*/ 707 h 716"/>
              <a:gd name="T12" fmla="*/ 572 w 1557"/>
              <a:gd name="T13" fmla="*/ 694 h 716"/>
              <a:gd name="T14" fmla="*/ 666 w 1557"/>
              <a:gd name="T15" fmla="*/ 676 h 716"/>
              <a:gd name="T16" fmla="*/ 760 w 1557"/>
              <a:gd name="T17" fmla="*/ 650 h 716"/>
              <a:gd name="T18" fmla="*/ 857 w 1557"/>
              <a:gd name="T19" fmla="*/ 617 h 716"/>
              <a:gd name="T20" fmla="*/ 955 w 1557"/>
              <a:gd name="T21" fmla="*/ 578 h 716"/>
              <a:gd name="T22" fmla="*/ 1054 w 1557"/>
              <a:gd name="T23" fmla="*/ 532 h 716"/>
              <a:gd name="T24" fmla="*/ 1156 w 1557"/>
              <a:gd name="T25" fmla="*/ 479 h 716"/>
              <a:gd name="T26" fmla="*/ 1255 w 1557"/>
              <a:gd name="T27" fmla="*/ 416 h 716"/>
              <a:gd name="T28" fmla="*/ 1356 w 1557"/>
              <a:gd name="T29" fmla="*/ 346 h 716"/>
              <a:gd name="T30" fmla="*/ 1456 w 1557"/>
              <a:gd name="T31" fmla="*/ 269 h 716"/>
              <a:gd name="T32" fmla="*/ 1557 w 1557"/>
              <a:gd name="T33" fmla="*/ 184 h 716"/>
              <a:gd name="T34" fmla="*/ 1417 w 1557"/>
              <a:gd name="T35" fmla="*/ 0 h 716"/>
              <a:gd name="T36" fmla="*/ 1332 w 1557"/>
              <a:gd name="T37" fmla="*/ 77 h 716"/>
              <a:gd name="T38" fmla="*/ 1244 w 1557"/>
              <a:gd name="T39" fmla="*/ 153 h 716"/>
              <a:gd name="T40" fmla="*/ 1156 w 1557"/>
              <a:gd name="T41" fmla="*/ 223 h 716"/>
              <a:gd name="T42" fmla="*/ 1064 w 1557"/>
              <a:gd name="T43" fmla="*/ 289 h 716"/>
              <a:gd name="T44" fmla="*/ 972 w 1557"/>
              <a:gd name="T45" fmla="*/ 350 h 716"/>
              <a:gd name="T46" fmla="*/ 878 w 1557"/>
              <a:gd name="T47" fmla="*/ 407 h 716"/>
              <a:gd name="T48" fmla="*/ 784 w 1557"/>
              <a:gd name="T49" fmla="*/ 458 h 716"/>
              <a:gd name="T50" fmla="*/ 692 w 1557"/>
              <a:gd name="T51" fmla="*/ 504 h 716"/>
              <a:gd name="T52" fmla="*/ 598 w 1557"/>
              <a:gd name="T53" fmla="*/ 545 h 716"/>
              <a:gd name="T54" fmla="*/ 508 w 1557"/>
              <a:gd name="T55" fmla="*/ 580 h 716"/>
              <a:gd name="T56" fmla="*/ 417 w 1557"/>
              <a:gd name="T57" fmla="*/ 609 h 716"/>
              <a:gd name="T58" fmla="*/ 331 w 1557"/>
              <a:gd name="T59" fmla="*/ 631 h 716"/>
              <a:gd name="T60" fmla="*/ 244 w 1557"/>
              <a:gd name="T61" fmla="*/ 648 h 716"/>
              <a:gd name="T62" fmla="*/ 163 w 1557"/>
              <a:gd name="T63" fmla="*/ 657 h 716"/>
              <a:gd name="T64" fmla="*/ 84 w 1557"/>
              <a:gd name="T65" fmla="*/ 661 h 716"/>
              <a:gd name="T66" fmla="*/ 11 w 1557"/>
              <a:gd name="T67" fmla="*/ 657 h 716"/>
              <a:gd name="T68" fmla="*/ 5 w 1557"/>
              <a:gd name="T69" fmla="*/ 655 h 716"/>
              <a:gd name="T70" fmla="*/ 0 w 1557"/>
              <a:gd name="T71" fmla="*/ 659 h 716"/>
              <a:gd name="T72" fmla="*/ 3 w 1557"/>
              <a:gd name="T73" fmla="*/ 666 h 716"/>
              <a:gd name="T74" fmla="*/ 20 w 1557"/>
              <a:gd name="T75" fmla="*/ 674 h 716"/>
              <a:gd name="T76" fmla="*/ 33 w 1557"/>
              <a:gd name="T77" fmla="*/ 677 h 7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557" h="716">
                <a:moveTo>
                  <a:pt x="73" y="688"/>
                </a:moveTo>
                <a:lnTo>
                  <a:pt x="73" y="688"/>
                </a:lnTo>
                <a:lnTo>
                  <a:pt x="110" y="696"/>
                </a:lnTo>
                <a:lnTo>
                  <a:pt x="149" y="703"/>
                </a:lnTo>
                <a:lnTo>
                  <a:pt x="187" y="709"/>
                </a:lnTo>
                <a:lnTo>
                  <a:pt x="226" y="712"/>
                </a:lnTo>
                <a:lnTo>
                  <a:pt x="266" y="714"/>
                </a:lnTo>
                <a:lnTo>
                  <a:pt x="309" y="716"/>
                </a:lnTo>
                <a:lnTo>
                  <a:pt x="349" y="716"/>
                </a:lnTo>
                <a:lnTo>
                  <a:pt x="393" y="714"/>
                </a:lnTo>
                <a:lnTo>
                  <a:pt x="438" y="712"/>
                </a:lnTo>
                <a:lnTo>
                  <a:pt x="482" y="707"/>
                </a:lnTo>
                <a:lnTo>
                  <a:pt x="526" y="701"/>
                </a:lnTo>
                <a:lnTo>
                  <a:pt x="572" y="694"/>
                </a:lnTo>
                <a:lnTo>
                  <a:pt x="618" y="687"/>
                </a:lnTo>
                <a:lnTo>
                  <a:pt x="666" y="676"/>
                </a:lnTo>
                <a:lnTo>
                  <a:pt x="712" y="663"/>
                </a:lnTo>
                <a:lnTo>
                  <a:pt x="760" y="650"/>
                </a:lnTo>
                <a:lnTo>
                  <a:pt x="810" y="635"/>
                </a:lnTo>
                <a:lnTo>
                  <a:pt x="857" y="617"/>
                </a:lnTo>
                <a:lnTo>
                  <a:pt x="907" y="598"/>
                </a:lnTo>
                <a:lnTo>
                  <a:pt x="955" y="578"/>
                </a:lnTo>
                <a:lnTo>
                  <a:pt x="1005" y="556"/>
                </a:lnTo>
                <a:lnTo>
                  <a:pt x="1054" y="532"/>
                </a:lnTo>
                <a:lnTo>
                  <a:pt x="1104" y="506"/>
                </a:lnTo>
                <a:lnTo>
                  <a:pt x="1156" y="479"/>
                </a:lnTo>
                <a:lnTo>
                  <a:pt x="1205" y="447"/>
                </a:lnTo>
                <a:lnTo>
                  <a:pt x="1255" y="416"/>
                </a:lnTo>
                <a:lnTo>
                  <a:pt x="1307" y="383"/>
                </a:lnTo>
                <a:lnTo>
                  <a:pt x="1356" y="346"/>
                </a:lnTo>
                <a:lnTo>
                  <a:pt x="1406" y="309"/>
                </a:lnTo>
                <a:lnTo>
                  <a:pt x="1456" y="269"/>
                </a:lnTo>
                <a:lnTo>
                  <a:pt x="1507" y="226"/>
                </a:lnTo>
                <a:lnTo>
                  <a:pt x="1557" y="184"/>
                </a:lnTo>
                <a:lnTo>
                  <a:pt x="1417" y="0"/>
                </a:lnTo>
                <a:lnTo>
                  <a:pt x="1417" y="0"/>
                </a:lnTo>
                <a:lnTo>
                  <a:pt x="1375" y="38"/>
                </a:lnTo>
                <a:lnTo>
                  <a:pt x="1332" y="77"/>
                </a:lnTo>
                <a:lnTo>
                  <a:pt x="1288" y="116"/>
                </a:lnTo>
                <a:lnTo>
                  <a:pt x="1244" y="153"/>
                </a:lnTo>
                <a:lnTo>
                  <a:pt x="1200" y="188"/>
                </a:lnTo>
                <a:lnTo>
                  <a:pt x="1156" y="223"/>
                </a:lnTo>
                <a:lnTo>
                  <a:pt x="1110" y="256"/>
                </a:lnTo>
                <a:lnTo>
                  <a:pt x="1064" y="289"/>
                </a:lnTo>
                <a:lnTo>
                  <a:pt x="1018" y="320"/>
                </a:lnTo>
                <a:lnTo>
                  <a:pt x="972" y="350"/>
                </a:lnTo>
                <a:lnTo>
                  <a:pt x="924" y="379"/>
                </a:lnTo>
                <a:lnTo>
                  <a:pt x="878" y="407"/>
                </a:lnTo>
                <a:lnTo>
                  <a:pt x="832" y="434"/>
                </a:lnTo>
                <a:lnTo>
                  <a:pt x="784" y="458"/>
                </a:lnTo>
                <a:lnTo>
                  <a:pt x="738" y="482"/>
                </a:lnTo>
                <a:lnTo>
                  <a:pt x="692" y="504"/>
                </a:lnTo>
                <a:lnTo>
                  <a:pt x="646" y="526"/>
                </a:lnTo>
                <a:lnTo>
                  <a:pt x="598" y="545"/>
                </a:lnTo>
                <a:lnTo>
                  <a:pt x="554" y="563"/>
                </a:lnTo>
                <a:lnTo>
                  <a:pt x="508" y="580"/>
                </a:lnTo>
                <a:lnTo>
                  <a:pt x="462" y="595"/>
                </a:lnTo>
                <a:lnTo>
                  <a:pt x="417" y="609"/>
                </a:lnTo>
                <a:lnTo>
                  <a:pt x="373" y="620"/>
                </a:lnTo>
                <a:lnTo>
                  <a:pt x="331" y="631"/>
                </a:lnTo>
                <a:lnTo>
                  <a:pt x="287" y="641"/>
                </a:lnTo>
                <a:lnTo>
                  <a:pt x="244" y="648"/>
                </a:lnTo>
                <a:lnTo>
                  <a:pt x="204" y="653"/>
                </a:lnTo>
                <a:lnTo>
                  <a:pt x="163" y="657"/>
                </a:lnTo>
                <a:lnTo>
                  <a:pt x="123" y="661"/>
                </a:lnTo>
                <a:lnTo>
                  <a:pt x="84" y="661"/>
                </a:lnTo>
                <a:lnTo>
                  <a:pt x="47" y="659"/>
                </a:lnTo>
                <a:lnTo>
                  <a:pt x="11" y="657"/>
                </a:lnTo>
                <a:lnTo>
                  <a:pt x="11" y="657"/>
                </a:lnTo>
                <a:lnTo>
                  <a:pt x="5" y="655"/>
                </a:lnTo>
                <a:lnTo>
                  <a:pt x="1" y="657"/>
                </a:lnTo>
                <a:lnTo>
                  <a:pt x="0" y="659"/>
                </a:lnTo>
                <a:lnTo>
                  <a:pt x="0" y="663"/>
                </a:lnTo>
                <a:lnTo>
                  <a:pt x="3" y="666"/>
                </a:lnTo>
                <a:lnTo>
                  <a:pt x="11" y="670"/>
                </a:lnTo>
                <a:lnTo>
                  <a:pt x="20" y="674"/>
                </a:lnTo>
                <a:lnTo>
                  <a:pt x="33" y="677"/>
                </a:lnTo>
                <a:lnTo>
                  <a:pt x="33" y="677"/>
                </a:lnTo>
                <a:lnTo>
                  <a:pt x="73" y="688"/>
                </a:lnTo>
                <a:close/>
              </a:path>
            </a:pathLst>
          </a:custGeom>
          <a:solidFill>
            <a:srgbClr val="0078AE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1" name="Freeform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/>
          </xdr:cNvSpPr>
        </xdr:nvSpPr>
        <xdr:spPr bwMode="blackGray">
          <a:xfrm>
            <a:off x="7435925" y="534958"/>
            <a:ext cx="202494" cy="93583"/>
          </a:xfrm>
          <a:custGeom>
            <a:avLst/>
            <a:gdLst>
              <a:gd name="T0" fmla="*/ 73 w 1557"/>
              <a:gd name="T1" fmla="*/ 688 h 716"/>
              <a:gd name="T2" fmla="*/ 149 w 1557"/>
              <a:gd name="T3" fmla="*/ 703 h 716"/>
              <a:gd name="T4" fmla="*/ 226 w 1557"/>
              <a:gd name="T5" fmla="*/ 712 h 716"/>
              <a:gd name="T6" fmla="*/ 309 w 1557"/>
              <a:gd name="T7" fmla="*/ 716 h 716"/>
              <a:gd name="T8" fmla="*/ 393 w 1557"/>
              <a:gd name="T9" fmla="*/ 714 h 716"/>
              <a:gd name="T10" fmla="*/ 482 w 1557"/>
              <a:gd name="T11" fmla="*/ 707 h 716"/>
              <a:gd name="T12" fmla="*/ 572 w 1557"/>
              <a:gd name="T13" fmla="*/ 694 h 716"/>
              <a:gd name="T14" fmla="*/ 666 w 1557"/>
              <a:gd name="T15" fmla="*/ 676 h 716"/>
              <a:gd name="T16" fmla="*/ 760 w 1557"/>
              <a:gd name="T17" fmla="*/ 650 h 716"/>
              <a:gd name="T18" fmla="*/ 857 w 1557"/>
              <a:gd name="T19" fmla="*/ 617 h 716"/>
              <a:gd name="T20" fmla="*/ 955 w 1557"/>
              <a:gd name="T21" fmla="*/ 578 h 716"/>
              <a:gd name="T22" fmla="*/ 1054 w 1557"/>
              <a:gd name="T23" fmla="*/ 532 h 716"/>
              <a:gd name="T24" fmla="*/ 1156 w 1557"/>
              <a:gd name="T25" fmla="*/ 479 h 716"/>
              <a:gd name="T26" fmla="*/ 1255 w 1557"/>
              <a:gd name="T27" fmla="*/ 416 h 716"/>
              <a:gd name="T28" fmla="*/ 1356 w 1557"/>
              <a:gd name="T29" fmla="*/ 346 h 716"/>
              <a:gd name="T30" fmla="*/ 1456 w 1557"/>
              <a:gd name="T31" fmla="*/ 269 h 716"/>
              <a:gd name="T32" fmla="*/ 1557 w 1557"/>
              <a:gd name="T33" fmla="*/ 184 h 716"/>
              <a:gd name="T34" fmla="*/ 1417 w 1557"/>
              <a:gd name="T35" fmla="*/ 0 h 716"/>
              <a:gd name="T36" fmla="*/ 1332 w 1557"/>
              <a:gd name="T37" fmla="*/ 77 h 716"/>
              <a:gd name="T38" fmla="*/ 1244 w 1557"/>
              <a:gd name="T39" fmla="*/ 153 h 716"/>
              <a:gd name="T40" fmla="*/ 1156 w 1557"/>
              <a:gd name="T41" fmla="*/ 223 h 716"/>
              <a:gd name="T42" fmla="*/ 1064 w 1557"/>
              <a:gd name="T43" fmla="*/ 289 h 716"/>
              <a:gd name="T44" fmla="*/ 972 w 1557"/>
              <a:gd name="T45" fmla="*/ 350 h 716"/>
              <a:gd name="T46" fmla="*/ 878 w 1557"/>
              <a:gd name="T47" fmla="*/ 407 h 716"/>
              <a:gd name="T48" fmla="*/ 784 w 1557"/>
              <a:gd name="T49" fmla="*/ 458 h 716"/>
              <a:gd name="T50" fmla="*/ 692 w 1557"/>
              <a:gd name="T51" fmla="*/ 504 h 716"/>
              <a:gd name="T52" fmla="*/ 598 w 1557"/>
              <a:gd name="T53" fmla="*/ 545 h 716"/>
              <a:gd name="T54" fmla="*/ 508 w 1557"/>
              <a:gd name="T55" fmla="*/ 580 h 716"/>
              <a:gd name="T56" fmla="*/ 417 w 1557"/>
              <a:gd name="T57" fmla="*/ 609 h 716"/>
              <a:gd name="T58" fmla="*/ 331 w 1557"/>
              <a:gd name="T59" fmla="*/ 631 h 716"/>
              <a:gd name="T60" fmla="*/ 244 w 1557"/>
              <a:gd name="T61" fmla="*/ 648 h 716"/>
              <a:gd name="T62" fmla="*/ 163 w 1557"/>
              <a:gd name="T63" fmla="*/ 657 h 716"/>
              <a:gd name="T64" fmla="*/ 84 w 1557"/>
              <a:gd name="T65" fmla="*/ 661 h 716"/>
              <a:gd name="T66" fmla="*/ 11 w 1557"/>
              <a:gd name="T67" fmla="*/ 657 h 716"/>
              <a:gd name="T68" fmla="*/ 5 w 1557"/>
              <a:gd name="T69" fmla="*/ 655 h 716"/>
              <a:gd name="T70" fmla="*/ 0 w 1557"/>
              <a:gd name="T71" fmla="*/ 659 h 716"/>
              <a:gd name="T72" fmla="*/ 3 w 1557"/>
              <a:gd name="T73" fmla="*/ 666 h 716"/>
              <a:gd name="T74" fmla="*/ 20 w 1557"/>
              <a:gd name="T75" fmla="*/ 674 h 716"/>
              <a:gd name="T76" fmla="*/ 33 w 1557"/>
              <a:gd name="T77" fmla="*/ 677 h 7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557" h="716">
                <a:moveTo>
                  <a:pt x="73" y="688"/>
                </a:moveTo>
                <a:lnTo>
                  <a:pt x="73" y="688"/>
                </a:lnTo>
                <a:lnTo>
                  <a:pt x="110" y="696"/>
                </a:lnTo>
                <a:lnTo>
                  <a:pt x="149" y="703"/>
                </a:lnTo>
                <a:lnTo>
                  <a:pt x="187" y="709"/>
                </a:lnTo>
                <a:lnTo>
                  <a:pt x="226" y="712"/>
                </a:lnTo>
                <a:lnTo>
                  <a:pt x="266" y="714"/>
                </a:lnTo>
                <a:lnTo>
                  <a:pt x="309" y="716"/>
                </a:lnTo>
                <a:lnTo>
                  <a:pt x="349" y="716"/>
                </a:lnTo>
                <a:lnTo>
                  <a:pt x="393" y="714"/>
                </a:lnTo>
                <a:lnTo>
                  <a:pt x="438" y="712"/>
                </a:lnTo>
                <a:lnTo>
                  <a:pt x="482" y="707"/>
                </a:lnTo>
                <a:lnTo>
                  <a:pt x="526" y="701"/>
                </a:lnTo>
                <a:lnTo>
                  <a:pt x="572" y="694"/>
                </a:lnTo>
                <a:lnTo>
                  <a:pt x="618" y="687"/>
                </a:lnTo>
                <a:lnTo>
                  <a:pt x="666" y="676"/>
                </a:lnTo>
                <a:lnTo>
                  <a:pt x="712" y="663"/>
                </a:lnTo>
                <a:lnTo>
                  <a:pt x="760" y="650"/>
                </a:lnTo>
                <a:lnTo>
                  <a:pt x="810" y="635"/>
                </a:lnTo>
                <a:lnTo>
                  <a:pt x="857" y="617"/>
                </a:lnTo>
                <a:lnTo>
                  <a:pt x="907" y="598"/>
                </a:lnTo>
                <a:lnTo>
                  <a:pt x="955" y="578"/>
                </a:lnTo>
                <a:lnTo>
                  <a:pt x="1005" y="556"/>
                </a:lnTo>
                <a:lnTo>
                  <a:pt x="1054" y="532"/>
                </a:lnTo>
                <a:lnTo>
                  <a:pt x="1104" y="506"/>
                </a:lnTo>
                <a:lnTo>
                  <a:pt x="1156" y="479"/>
                </a:lnTo>
                <a:lnTo>
                  <a:pt x="1205" y="447"/>
                </a:lnTo>
                <a:lnTo>
                  <a:pt x="1255" y="416"/>
                </a:lnTo>
                <a:lnTo>
                  <a:pt x="1307" y="383"/>
                </a:lnTo>
                <a:lnTo>
                  <a:pt x="1356" y="346"/>
                </a:lnTo>
                <a:lnTo>
                  <a:pt x="1406" y="309"/>
                </a:lnTo>
                <a:lnTo>
                  <a:pt x="1456" y="269"/>
                </a:lnTo>
                <a:lnTo>
                  <a:pt x="1507" y="226"/>
                </a:lnTo>
                <a:lnTo>
                  <a:pt x="1557" y="184"/>
                </a:lnTo>
                <a:lnTo>
                  <a:pt x="1417" y="0"/>
                </a:lnTo>
                <a:lnTo>
                  <a:pt x="1417" y="0"/>
                </a:lnTo>
                <a:lnTo>
                  <a:pt x="1375" y="38"/>
                </a:lnTo>
                <a:lnTo>
                  <a:pt x="1332" y="77"/>
                </a:lnTo>
                <a:lnTo>
                  <a:pt x="1288" y="116"/>
                </a:lnTo>
                <a:lnTo>
                  <a:pt x="1244" y="153"/>
                </a:lnTo>
                <a:lnTo>
                  <a:pt x="1200" y="188"/>
                </a:lnTo>
                <a:lnTo>
                  <a:pt x="1156" y="223"/>
                </a:lnTo>
                <a:lnTo>
                  <a:pt x="1110" y="256"/>
                </a:lnTo>
                <a:lnTo>
                  <a:pt x="1064" y="289"/>
                </a:lnTo>
                <a:lnTo>
                  <a:pt x="1018" y="320"/>
                </a:lnTo>
                <a:lnTo>
                  <a:pt x="972" y="350"/>
                </a:lnTo>
                <a:lnTo>
                  <a:pt x="924" y="379"/>
                </a:lnTo>
                <a:lnTo>
                  <a:pt x="878" y="407"/>
                </a:lnTo>
                <a:lnTo>
                  <a:pt x="832" y="434"/>
                </a:lnTo>
                <a:lnTo>
                  <a:pt x="784" y="458"/>
                </a:lnTo>
                <a:lnTo>
                  <a:pt x="738" y="482"/>
                </a:lnTo>
                <a:lnTo>
                  <a:pt x="692" y="504"/>
                </a:lnTo>
                <a:lnTo>
                  <a:pt x="646" y="526"/>
                </a:lnTo>
                <a:lnTo>
                  <a:pt x="598" y="545"/>
                </a:lnTo>
                <a:lnTo>
                  <a:pt x="554" y="563"/>
                </a:lnTo>
                <a:lnTo>
                  <a:pt x="508" y="580"/>
                </a:lnTo>
                <a:lnTo>
                  <a:pt x="462" y="595"/>
                </a:lnTo>
                <a:lnTo>
                  <a:pt x="417" y="609"/>
                </a:lnTo>
                <a:lnTo>
                  <a:pt x="373" y="620"/>
                </a:lnTo>
                <a:lnTo>
                  <a:pt x="331" y="631"/>
                </a:lnTo>
                <a:lnTo>
                  <a:pt x="287" y="641"/>
                </a:lnTo>
                <a:lnTo>
                  <a:pt x="244" y="648"/>
                </a:lnTo>
                <a:lnTo>
                  <a:pt x="204" y="653"/>
                </a:lnTo>
                <a:lnTo>
                  <a:pt x="163" y="657"/>
                </a:lnTo>
                <a:lnTo>
                  <a:pt x="123" y="661"/>
                </a:lnTo>
                <a:lnTo>
                  <a:pt x="84" y="661"/>
                </a:lnTo>
                <a:lnTo>
                  <a:pt x="47" y="659"/>
                </a:lnTo>
                <a:lnTo>
                  <a:pt x="11" y="657"/>
                </a:lnTo>
                <a:lnTo>
                  <a:pt x="11" y="657"/>
                </a:lnTo>
                <a:lnTo>
                  <a:pt x="5" y="655"/>
                </a:lnTo>
                <a:lnTo>
                  <a:pt x="1" y="657"/>
                </a:lnTo>
                <a:lnTo>
                  <a:pt x="0" y="659"/>
                </a:lnTo>
                <a:lnTo>
                  <a:pt x="0" y="663"/>
                </a:lnTo>
                <a:lnTo>
                  <a:pt x="3" y="666"/>
                </a:lnTo>
                <a:lnTo>
                  <a:pt x="11" y="670"/>
                </a:lnTo>
                <a:lnTo>
                  <a:pt x="20" y="674"/>
                </a:lnTo>
                <a:lnTo>
                  <a:pt x="33" y="677"/>
                </a:lnTo>
                <a:lnTo>
                  <a:pt x="33" y="677"/>
                </a:lnTo>
                <a:lnTo>
                  <a:pt x="73" y="688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2" name="Freeform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/>
          </xdr:cNvSpPr>
        </xdr:nvSpPr>
        <xdr:spPr bwMode="blackGray">
          <a:xfrm>
            <a:off x="7489980" y="267088"/>
            <a:ext cx="250544" cy="93583"/>
          </a:xfrm>
          <a:custGeom>
            <a:avLst/>
            <a:gdLst>
              <a:gd name="T0" fmla="*/ 1831 w 1925"/>
              <a:gd name="T1" fmla="*/ 115 h 720"/>
              <a:gd name="T2" fmla="*/ 1739 w 1925"/>
              <a:gd name="T3" fmla="*/ 78 h 720"/>
              <a:gd name="T4" fmla="*/ 1640 w 1925"/>
              <a:gd name="T5" fmla="*/ 48 h 720"/>
              <a:gd name="T6" fmla="*/ 1535 w 1925"/>
              <a:gd name="T7" fmla="*/ 24 h 720"/>
              <a:gd name="T8" fmla="*/ 1426 w 1925"/>
              <a:gd name="T9" fmla="*/ 10 h 720"/>
              <a:gd name="T10" fmla="*/ 1312 w 1925"/>
              <a:gd name="T11" fmla="*/ 0 h 720"/>
              <a:gd name="T12" fmla="*/ 1196 w 1925"/>
              <a:gd name="T13" fmla="*/ 0 h 720"/>
              <a:gd name="T14" fmla="*/ 1076 w 1925"/>
              <a:gd name="T15" fmla="*/ 10 h 720"/>
              <a:gd name="T16" fmla="*/ 955 w 1925"/>
              <a:gd name="T17" fmla="*/ 26 h 720"/>
              <a:gd name="T18" fmla="*/ 832 w 1925"/>
              <a:gd name="T19" fmla="*/ 52 h 720"/>
              <a:gd name="T20" fmla="*/ 708 w 1925"/>
              <a:gd name="T21" fmla="*/ 89 h 720"/>
              <a:gd name="T22" fmla="*/ 587 w 1925"/>
              <a:gd name="T23" fmla="*/ 135 h 720"/>
              <a:gd name="T24" fmla="*/ 463 w 1925"/>
              <a:gd name="T25" fmla="*/ 190 h 720"/>
              <a:gd name="T26" fmla="*/ 344 w 1925"/>
              <a:gd name="T27" fmla="*/ 258 h 720"/>
              <a:gd name="T28" fmla="*/ 226 w 1925"/>
              <a:gd name="T29" fmla="*/ 336 h 720"/>
              <a:gd name="T30" fmla="*/ 110 w 1925"/>
              <a:gd name="T31" fmla="*/ 426 h 720"/>
              <a:gd name="T32" fmla="*/ 0 w 1925"/>
              <a:gd name="T33" fmla="*/ 527 h 720"/>
              <a:gd name="T34" fmla="*/ 139 w 1925"/>
              <a:gd name="T35" fmla="*/ 720 h 720"/>
              <a:gd name="T36" fmla="*/ 252 w 1925"/>
              <a:gd name="T37" fmla="*/ 614 h 720"/>
              <a:gd name="T38" fmla="*/ 366 w 1925"/>
              <a:gd name="T39" fmla="*/ 520 h 720"/>
              <a:gd name="T40" fmla="*/ 484 w 1925"/>
              <a:gd name="T41" fmla="*/ 435 h 720"/>
              <a:gd name="T42" fmla="*/ 603 w 1925"/>
              <a:gd name="T43" fmla="*/ 360 h 720"/>
              <a:gd name="T44" fmla="*/ 723 w 1925"/>
              <a:gd name="T45" fmla="*/ 295 h 720"/>
              <a:gd name="T46" fmla="*/ 845 w 1925"/>
              <a:gd name="T47" fmla="*/ 240 h 720"/>
              <a:gd name="T48" fmla="*/ 964 w 1925"/>
              <a:gd name="T49" fmla="*/ 194 h 720"/>
              <a:gd name="T50" fmla="*/ 1084 w 1925"/>
              <a:gd name="T51" fmla="*/ 157 h 720"/>
              <a:gd name="T52" fmla="*/ 1202 w 1925"/>
              <a:gd name="T53" fmla="*/ 129 h 720"/>
              <a:gd name="T54" fmla="*/ 1316 w 1925"/>
              <a:gd name="T55" fmla="*/ 111 h 720"/>
              <a:gd name="T56" fmla="*/ 1428 w 1925"/>
              <a:gd name="T57" fmla="*/ 102 h 720"/>
              <a:gd name="T58" fmla="*/ 1535 w 1925"/>
              <a:gd name="T59" fmla="*/ 100 h 720"/>
              <a:gd name="T60" fmla="*/ 1638 w 1925"/>
              <a:gd name="T61" fmla="*/ 107 h 720"/>
              <a:gd name="T62" fmla="*/ 1735 w 1925"/>
              <a:gd name="T63" fmla="*/ 122 h 720"/>
              <a:gd name="T64" fmla="*/ 1828 w 1925"/>
              <a:gd name="T65" fmla="*/ 146 h 720"/>
              <a:gd name="T66" fmla="*/ 1912 w 1925"/>
              <a:gd name="T67" fmla="*/ 175 h 720"/>
              <a:gd name="T68" fmla="*/ 1918 w 1925"/>
              <a:gd name="T69" fmla="*/ 177 h 720"/>
              <a:gd name="T70" fmla="*/ 1925 w 1925"/>
              <a:gd name="T71" fmla="*/ 174 h 720"/>
              <a:gd name="T72" fmla="*/ 1921 w 1925"/>
              <a:gd name="T73" fmla="*/ 164 h 720"/>
              <a:gd name="T74" fmla="*/ 1905 w 1925"/>
              <a:gd name="T75" fmla="*/ 150 h 720"/>
              <a:gd name="T76" fmla="*/ 1888 w 1925"/>
              <a:gd name="T77" fmla="*/ 142 h 7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925" h="720">
                <a:moveTo>
                  <a:pt x="1831" y="115"/>
                </a:moveTo>
                <a:lnTo>
                  <a:pt x="1831" y="115"/>
                </a:lnTo>
                <a:lnTo>
                  <a:pt x="1785" y="96"/>
                </a:lnTo>
                <a:lnTo>
                  <a:pt x="1739" y="78"/>
                </a:lnTo>
                <a:lnTo>
                  <a:pt x="1689" y="61"/>
                </a:lnTo>
                <a:lnTo>
                  <a:pt x="1640" y="48"/>
                </a:lnTo>
                <a:lnTo>
                  <a:pt x="1588" y="35"/>
                </a:lnTo>
                <a:lnTo>
                  <a:pt x="1535" y="24"/>
                </a:lnTo>
                <a:lnTo>
                  <a:pt x="1481" y="15"/>
                </a:lnTo>
                <a:lnTo>
                  <a:pt x="1426" y="10"/>
                </a:lnTo>
                <a:lnTo>
                  <a:pt x="1369" y="4"/>
                </a:lnTo>
                <a:lnTo>
                  <a:pt x="1312" y="0"/>
                </a:lnTo>
                <a:lnTo>
                  <a:pt x="1253" y="0"/>
                </a:lnTo>
                <a:lnTo>
                  <a:pt x="1196" y="0"/>
                </a:lnTo>
                <a:lnTo>
                  <a:pt x="1135" y="4"/>
                </a:lnTo>
                <a:lnTo>
                  <a:pt x="1076" y="10"/>
                </a:lnTo>
                <a:lnTo>
                  <a:pt x="1016" y="17"/>
                </a:lnTo>
                <a:lnTo>
                  <a:pt x="955" y="26"/>
                </a:lnTo>
                <a:lnTo>
                  <a:pt x="894" y="37"/>
                </a:lnTo>
                <a:lnTo>
                  <a:pt x="832" y="52"/>
                </a:lnTo>
                <a:lnTo>
                  <a:pt x="771" y="69"/>
                </a:lnTo>
                <a:lnTo>
                  <a:pt x="708" y="89"/>
                </a:lnTo>
                <a:lnTo>
                  <a:pt x="648" y="111"/>
                </a:lnTo>
                <a:lnTo>
                  <a:pt x="587" y="135"/>
                </a:lnTo>
                <a:lnTo>
                  <a:pt x="524" y="161"/>
                </a:lnTo>
                <a:lnTo>
                  <a:pt x="463" y="190"/>
                </a:lnTo>
                <a:lnTo>
                  <a:pt x="405" y="223"/>
                </a:lnTo>
                <a:lnTo>
                  <a:pt x="344" y="258"/>
                </a:lnTo>
                <a:lnTo>
                  <a:pt x="285" y="295"/>
                </a:lnTo>
                <a:lnTo>
                  <a:pt x="226" y="336"/>
                </a:lnTo>
                <a:lnTo>
                  <a:pt x="167" y="380"/>
                </a:lnTo>
                <a:lnTo>
                  <a:pt x="110" y="426"/>
                </a:lnTo>
                <a:lnTo>
                  <a:pt x="55" y="476"/>
                </a:lnTo>
                <a:lnTo>
                  <a:pt x="0" y="527"/>
                </a:lnTo>
                <a:lnTo>
                  <a:pt x="139" y="720"/>
                </a:lnTo>
                <a:lnTo>
                  <a:pt x="139" y="720"/>
                </a:lnTo>
                <a:lnTo>
                  <a:pt x="195" y="665"/>
                </a:lnTo>
                <a:lnTo>
                  <a:pt x="252" y="614"/>
                </a:lnTo>
                <a:lnTo>
                  <a:pt x="309" y="566"/>
                </a:lnTo>
                <a:lnTo>
                  <a:pt x="366" y="520"/>
                </a:lnTo>
                <a:lnTo>
                  <a:pt x="425" y="476"/>
                </a:lnTo>
                <a:lnTo>
                  <a:pt x="484" y="435"/>
                </a:lnTo>
                <a:lnTo>
                  <a:pt x="543" y="396"/>
                </a:lnTo>
                <a:lnTo>
                  <a:pt x="603" y="360"/>
                </a:lnTo>
                <a:lnTo>
                  <a:pt x="662" y="326"/>
                </a:lnTo>
                <a:lnTo>
                  <a:pt x="723" y="295"/>
                </a:lnTo>
                <a:lnTo>
                  <a:pt x="784" y="266"/>
                </a:lnTo>
                <a:lnTo>
                  <a:pt x="845" y="240"/>
                </a:lnTo>
                <a:lnTo>
                  <a:pt x="903" y="216"/>
                </a:lnTo>
                <a:lnTo>
                  <a:pt x="964" y="194"/>
                </a:lnTo>
                <a:lnTo>
                  <a:pt x="1023" y="175"/>
                </a:lnTo>
                <a:lnTo>
                  <a:pt x="1084" y="157"/>
                </a:lnTo>
                <a:lnTo>
                  <a:pt x="1143" y="142"/>
                </a:lnTo>
                <a:lnTo>
                  <a:pt x="1202" y="129"/>
                </a:lnTo>
                <a:lnTo>
                  <a:pt x="1259" y="120"/>
                </a:lnTo>
                <a:lnTo>
                  <a:pt x="1316" y="111"/>
                </a:lnTo>
                <a:lnTo>
                  <a:pt x="1373" y="105"/>
                </a:lnTo>
                <a:lnTo>
                  <a:pt x="1428" y="102"/>
                </a:lnTo>
                <a:lnTo>
                  <a:pt x="1481" y="100"/>
                </a:lnTo>
                <a:lnTo>
                  <a:pt x="1535" y="100"/>
                </a:lnTo>
                <a:lnTo>
                  <a:pt x="1588" y="104"/>
                </a:lnTo>
                <a:lnTo>
                  <a:pt x="1638" y="107"/>
                </a:lnTo>
                <a:lnTo>
                  <a:pt x="1688" y="115"/>
                </a:lnTo>
                <a:lnTo>
                  <a:pt x="1735" y="122"/>
                </a:lnTo>
                <a:lnTo>
                  <a:pt x="1783" y="133"/>
                </a:lnTo>
                <a:lnTo>
                  <a:pt x="1828" y="146"/>
                </a:lnTo>
                <a:lnTo>
                  <a:pt x="1872" y="159"/>
                </a:lnTo>
                <a:lnTo>
                  <a:pt x="1912" y="175"/>
                </a:lnTo>
                <a:lnTo>
                  <a:pt x="1912" y="175"/>
                </a:lnTo>
                <a:lnTo>
                  <a:pt x="1918" y="177"/>
                </a:lnTo>
                <a:lnTo>
                  <a:pt x="1923" y="177"/>
                </a:lnTo>
                <a:lnTo>
                  <a:pt x="1925" y="174"/>
                </a:lnTo>
                <a:lnTo>
                  <a:pt x="1925" y="170"/>
                </a:lnTo>
                <a:lnTo>
                  <a:pt x="1921" y="164"/>
                </a:lnTo>
                <a:lnTo>
                  <a:pt x="1914" y="157"/>
                </a:lnTo>
                <a:lnTo>
                  <a:pt x="1905" y="150"/>
                </a:lnTo>
                <a:lnTo>
                  <a:pt x="1888" y="142"/>
                </a:lnTo>
                <a:lnTo>
                  <a:pt x="1888" y="142"/>
                </a:lnTo>
                <a:lnTo>
                  <a:pt x="1831" y="115"/>
                </a:lnTo>
                <a:close/>
              </a:path>
            </a:pathLst>
          </a:custGeom>
          <a:solidFill>
            <a:srgbClr val="0078AE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3" name="Freeform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/>
          </xdr:cNvSpPr>
        </xdr:nvSpPr>
        <xdr:spPr bwMode="blackGray">
          <a:xfrm>
            <a:off x="7489980" y="267088"/>
            <a:ext cx="250544" cy="93583"/>
          </a:xfrm>
          <a:custGeom>
            <a:avLst/>
            <a:gdLst>
              <a:gd name="T0" fmla="*/ 1831 w 1925"/>
              <a:gd name="T1" fmla="*/ 115 h 720"/>
              <a:gd name="T2" fmla="*/ 1739 w 1925"/>
              <a:gd name="T3" fmla="*/ 78 h 720"/>
              <a:gd name="T4" fmla="*/ 1640 w 1925"/>
              <a:gd name="T5" fmla="*/ 48 h 720"/>
              <a:gd name="T6" fmla="*/ 1535 w 1925"/>
              <a:gd name="T7" fmla="*/ 24 h 720"/>
              <a:gd name="T8" fmla="*/ 1426 w 1925"/>
              <a:gd name="T9" fmla="*/ 10 h 720"/>
              <a:gd name="T10" fmla="*/ 1312 w 1925"/>
              <a:gd name="T11" fmla="*/ 0 h 720"/>
              <a:gd name="T12" fmla="*/ 1196 w 1925"/>
              <a:gd name="T13" fmla="*/ 0 h 720"/>
              <a:gd name="T14" fmla="*/ 1076 w 1925"/>
              <a:gd name="T15" fmla="*/ 10 h 720"/>
              <a:gd name="T16" fmla="*/ 955 w 1925"/>
              <a:gd name="T17" fmla="*/ 26 h 720"/>
              <a:gd name="T18" fmla="*/ 832 w 1925"/>
              <a:gd name="T19" fmla="*/ 52 h 720"/>
              <a:gd name="T20" fmla="*/ 708 w 1925"/>
              <a:gd name="T21" fmla="*/ 89 h 720"/>
              <a:gd name="T22" fmla="*/ 587 w 1925"/>
              <a:gd name="T23" fmla="*/ 135 h 720"/>
              <a:gd name="T24" fmla="*/ 463 w 1925"/>
              <a:gd name="T25" fmla="*/ 190 h 720"/>
              <a:gd name="T26" fmla="*/ 344 w 1925"/>
              <a:gd name="T27" fmla="*/ 258 h 720"/>
              <a:gd name="T28" fmla="*/ 226 w 1925"/>
              <a:gd name="T29" fmla="*/ 336 h 720"/>
              <a:gd name="T30" fmla="*/ 110 w 1925"/>
              <a:gd name="T31" fmla="*/ 426 h 720"/>
              <a:gd name="T32" fmla="*/ 0 w 1925"/>
              <a:gd name="T33" fmla="*/ 527 h 720"/>
              <a:gd name="T34" fmla="*/ 139 w 1925"/>
              <a:gd name="T35" fmla="*/ 720 h 720"/>
              <a:gd name="T36" fmla="*/ 252 w 1925"/>
              <a:gd name="T37" fmla="*/ 614 h 720"/>
              <a:gd name="T38" fmla="*/ 366 w 1925"/>
              <a:gd name="T39" fmla="*/ 520 h 720"/>
              <a:gd name="T40" fmla="*/ 484 w 1925"/>
              <a:gd name="T41" fmla="*/ 435 h 720"/>
              <a:gd name="T42" fmla="*/ 603 w 1925"/>
              <a:gd name="T43" fmla="*/ 360 h 720"/>
              <a:gd name="T44" fmla="*/ 723 w 1925"/>
              <a:gd name="T45" fmla="*/ 295 h 720"/>
              <a:gd name="T46" fmla="*/ 845 w 1925"/>
              <a:gd name="T47" fmla="*/ 240 h 720"/>
              <a:gd name="T48" fmla="*/ 964 w 1925"/>
              <a:gd name="T49" fmla="*/ 194 h 720"/>
              <a:gd name="T50" fmla="*/ 1084 w 1925"/>
              <a:gd name="T51" fmla="*/ 157 h 720"/>
              <a:gd name="T52" fmla="*/ 1202 w 1925"/>
              <a:gd name="T53" fmla="*/ 129 h 720"/>
              <a:gd name="T54" fmla="*/ 1316 w 1925"/>
              <a:gd name="T55" fmla="*/ 111 h 720"/>
              <a:gd name="T56" fmla="*/ 1428 w 1925"/>
              <a:gd name="T57" fmla="*/ 102 h 720"/>
              <a:gd name="T58" fmla="*/ 1535 w 1925"/>
              <a:gd name="T59" fmla="*/ 100 h 720"/>
              <a:gd name="T60" fmla="*/ 1638 w 1925"/>
              <a:gd name="T61" fmla="*/ 107 h 720"/>
              <a:gd name="T62" fmla="*/ 1735 w 1925"/>
              <a:gd name="T63" fmla="*/ 122 h 720"/>
              <a:gd name="T64" fmla="*/ 1828 w 1925"/>
              <a:gd name="T65" fmla="*/ 146 h 720"/>
              <a:gd name="T66" fmla="*/ 1912 w 1925"/>
              <a:gd name="T67" fmla="*/ 175 h 720"/>
              <a:gd name="T68" fmla="*/ 1918 w 1925"/>
              <a:gd name="T69" fmla="*/ 177 h 720"/>
              <a:gd name="T70" fmla="*/ 1925 w 1925"/>
              <a:gd name="T71" fmla="*/ 174 h 720"/>
              <a:gd name="T72" fmla="*/ 1921 w 1925"/>
              <a:gd name="T73" fmla="*/ 164 h 720"/>
              <a:gd name="T74" fmla="*/ 1905 w 1925"/>
              <a:gd name="T75" fmla="*/ 150 h 720"/>
              <a:gd name="T76" fmla="*/ 1888 w 1925"/>
              <a:gd name="T77" fmla="*/ 142 h 7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925" h="720">
                <a:moveTo>
                  <a:pt x="1831" y="115"/>
                </a:moveTo>
                <a:lnTo>
                  <a:pt x="1831" y="115"/>
                </a:lnTo>
                <a:lnTo>
                  <a:pt x="1785" y="96"/>
                </a:lnTo>
                <a:lnTo>
                  <a:pt x="1739" y="78"/>
                </a:lnTo>
                <a:lnTo>
                  <a:pt x="1689" y="61"/>
                </a:lnTo>
                <a:lnTo>
                  <a:pt x="1640" y="48"/>
                </a:lnTo>
                <a:lnTo>
                  <a:pt x="1588" y="35"/>
                </a:lnTo>
                <a:lnTo>
                  <a:pt x="1535" y="24"/>
                </a:lnTo>
                <a:lnTo>
                  <a:pt x="1481" y="15"/>
                </a:lnTo>
                <a:lnTo>
                  <a:pt x="1426" y="10"/>
                </a:lnTo>
                <a:lnTo>
                  <a:pt x="1369" y="4"/>
                </a:lnTo>
                <a:lnTo>
                  <a:pt x="1312" y="0"/>
                </a:lnTo>
                <a:lnTo>
                  <a:pt x="1253" y="0"/>
                </a:lnTo>
                <a:lnTo>
                  <a:pt x="1196" y="0"/>
                </a:lnTo>
                <a:lnTo>
                  <a:pt x="1135" y="4"/>
                </a:lnTo>
                <a:lnTo>
                  <a:pt x="1076" y="10"/>
                </a:lnTo>
                <a:lnTo>
                  <a:pt x="1016" y="17"/>
                </a:lnTo>
                <a:lnTo>
                  <a:pt x="955" y="26"/>
                </a:lnTo>
                <a:lnTo>
                  <a:pt x="894" y="37"/>
                </a:lnTo>
                <a:lnTo>
                  <a:pt x="832" y="52"/>
                </a:lnTo>
                <a:lnTo>
                  <a:pt x="771" y="69"/>
                </a:lnTo>
                <a:lnTo>
                  <a:pt x="708" y="89"/>
                </a:lnTo>
                <a:lnTo>
                  <a:pt x="648" y="111"/>
                </a:lnTo>
                <a:lnTo>
                  <a:pt x="587" y="135"/>
                </a:lnTo>
                <a:lnTo>
                  <a:pt x="524" y="161"/>
                </a:lnTo>
                <a:lnTo>
                  <a:pt x="463" y="190"/>
                </a:lnTo>
                <a:lnTo>
                  <a:pt x="405" y="223"/>
                </a:lnTo>
                <a:lnTo>
                  <a:pt x="344" y="258"/>
                </a:lnTo>
                <a:lnTo>
                  <a:pt x="285" y="295"/>
                </a:lnTo>
                <a:lnTo>
                  <a:pt x="226" y="336"/>
                </a:lnTo>
                <a:lnTo>
                  <a:pt x="167" y="380"/>
                </a:lnTo>
                <a:lnTo>
                  <a:pt x="110" y="426"/>
                </a:lnTo>
                <a:lnTo>
                  <a:pt x="55" y="476"/>
                </a:lnTo>
                <a:lnTo>
                  <a:pt x="0" y="527"/>
                </a:lnTo>
                <a:lnTo>
                  <a:pt x="139" y="720"/>
                </a:lnTo>
                <a:lnTo>
                  <a:pt x="139" y="720"/>
                </a:lnTo>
                <a:lnTo>
                  <a:pt x="195" y="665"/>
                </a:lnTo>
                <a:lnTo>
                  <a:pt x="252" y="614"/>
                </a:lnTo>
                <a:lnTo>
                  <a:pt x="309" y="566"/>
                </a:lnTo>
                <a:lnTo>
                  <a:pt x="366" y="520"/>
                </a:lnTo>
                <a:lnTo>
                  <a:pt x="425" y="476"/>
                </a:lnTo>
                <a:lnTo>
                  <a:pt x="484" y="435"/>
                </a:lnTo>
                <a:lnTo>
                  <a:pt x="543" y="396"/>
                </a:lnTo>
                <a:lnTo>
                  <a:pt x="603" y="360"/>
                </a:lnTo>
                <a:lnTo>
                  <a:pt x="662" y="326"/>
                </a:lnTo>
                <a:lnTo>
                  <a:pt x="723" y="295"/>
                </a:lnTo>
                <a:lnTo>
                  <a:pt x="784" y="266"/>
                </a:lnTo>
                <a:lnTo>
                  <a:pt x="845" y="240"/>
                </a:lnTo>
                <a:lnTo>
                  <a:pt x="903" y="216"/>
                </a:lnTo>
                <a:lnTo>
                  <a:pt x="964" y="194"/>
                </a:lnTo>
                <a:lnTo>
                  <a:pt x="1023" y="175"/>
                </a:lnTo>
                <a:lnTo>
                  <a:pt x="1084" y="157"/>
                </a:lnTo>
                <a:lnTo>
                  <a:pt x="1143" y="142"/>
                </a:lnTo>
                <a:lnTo>
                  <a:pt x="1202" y="129"/>
                </a:lnTo>
                <a:lnTo>
                  <a:pt x="1259" y="120"/>
                </a:lnTo>
                <a:lnTo>
                  <a:pt x="1316" y="111"/>
                </a:lnTo>
                <a:lnTo>
                  <a:pt x="1373" y="105"/>
                </a:lnTo>
                <a:lnTo>
                  <a:pt x="1428" y="102"/>
                </a:lnTo>
                <a:lnTo>
                  <a:pt x="1481" y="100"/>
                </a:lnTo>
                <a:lnTo>
                  <a:pt x="1535" y="100"/>
                </a:lnTo>
                <a:lnTo>
                  <a:pt x="1588" y="104"/>
                </a:lnTo>
                <a:lnTo>
                  <a:pt x="1638" y="107"/>
                </a:lnTo>
                <a:lnTo>
                  <a:pt x="1688" y="115"/>
                </a:lnTo>
                <a:lnTo>
                  <a:pt x="1735" y="122"/>
                </a:lnTo>
                <a:lnTo>
                  <a:pt x="1783" y="133"/>
                </a:lnTo>
                <a:lnTo>
                  <a:pt x="1828" y="146"/>
                </a:lnTo>
                <a:lnTo>
                  <a:pt x="1872" y="159"/>
                </a:lnTo>
                <a:lnTo>
                  <a:pt x="1912" y="175"/>
                </a:lnTo>
                <a:lnTo>
                  <a:pt x="1912" y="175"/>
                </a:lnTo>
                <a:lnTo>
                  <a:pt x="1918" y="177"/>
                </a:lnTo>
                <a:lnTo>
                  <a:pt x="1923" y="177"/>
                </a:lnTo>
                <a:lnTo>
                  <a:pt x="1925" y="174"/>
                </a:lnTo>
                <a:lnTo>
                  <a:pt x="1925" y="170"/>
                </a:lnTo>
                <a:lnTo>
                  <a:pt x="1921" y="164"/>
                </a:lnTo>
                <a:lnTo>
                  <a:pt x="1914" y="157"/>
                </a:lnTo>
                <a:lnTo>
                  <a:pt x="1905" y="150"/>
                </a:lnTo>
                <a:lnTo>
                  <a:pt x="1888" y="142"/>
                </a:lnTo>
                <a:lnTo>
                  <a:pt x="1888" y="142"/>
                </a:lnTo>
                <a:lnTo>
                  <a:pt x="1831" y="115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4" name="Freeform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/>
          </xdr:cNvSpPr>
        </xdr:nvSpPr>
        <xdr:spPr bwMode="blackGray">
          <a:xfrm>
            <a:off x="7477968" y="237897"/>
            <a:ext cx="234241" cy="60099"/>
          </a:xfrm>
          <a:custGeom>
            <a:avLst/>
            <a:gdLst>
              <a:gd name="T0" fmla="*/ 1725 w 1802"/>
              <a:gd name="T1" fmla="*/ 175 h 459"/>
              <a:gd name="T2" fmla="*/ 1607 w 1802"/>
              <a:gd name="T3" fmla="*/ 126 h 459"/>
              <a:gd name="T4" fmla="*/ 1489 w 1802"/>
              <a:gd name="T5" fmla="*/ 85 h 459"/>
              <a:gd name="T6" fmla="*/ 1371 w 1802"/>
              <a:gd name="T7" fmla="*/ 52 h 459"/>
              <a:gd name="T8" fmla="*/ 1255 w 1802"/>
              <a:gd name="T9" fmla="*/ 28 h 459"/>
              <a:gd name="T10" fmla="*/ 1137 w 1802"/>
              <a:gd name="T11" fmla="*/ 11 h 459"/>
              <a:gd name="T12" fmla="*/ 1023 w 1802"/>
              <a:gd name="T13" fmla="*/ 2 h 459"/>
              <a:gd name="T14" fmla="*/ 909 w 1802"/>
              <a:gd name="T15" fmla="*/ 2 h 459"/>
              <a:gd name="T16" fmla="*/ 797 w 1802"/>
              <a:gd name="T17" fmla="*/ 6 h 459"/>
              <a:gd name="T18" fmla="*/ 686 w 1802"/>
              <a:gd name="T19" fmla="*/ 19 h 459"/>
              <a:gd name="T20" fmla="*/ 580 w 1802"/>
              <a:gd name="T21" fmla="*/ 37 h 459"/>
              <a:gd name="T22" fmla="*/ 475 w 1802"/>
              <a:gd name="T23" fmla="*/ 63 h 459"/>
              <a:gd name="T24" fmla="*/ 372 w 1802"/>
              <a:gd name="T25" fmla="*/ 94 h 459"/>
              <a:gd name="T26" fmla="*/ 274 w 1802"/>
              <a:gd name="T27" fmla="*/ 131 h 459"/>
              <a:gd name="T28" fmla="*/ 178 w 1802"/>
              <a:gd name="T29" fmla="*/ 174 h 459"/>
              <a:gd name="T30" fmla="*/ 88 w 1802"/>
              <a:gd name="T31" fmla="*/ 221 h 459"/>
              <a:gd name="T32" fmla="*/ 0 w 1802"/>
              <a:gd name="T33" fmla="*/ 273 h 459"/>
              <a:gd name="T34" fmla="*/ 140 w 1802"/>
              <a:gd name="T35" fmla="*/ 459 h 459"/>
              <a:gd name="T36" fmla="*/ 232 w 1802"/>
              <a:gd name="T37" fmla="*/ 398 h 459"/>
              <a:gd name="T38" fmla="*/ 327 w 1802"/>
              <a:gd name="T39" fmla="*/ 343 h 459"/>
              <a:gd name="T40" fmla="*/ 427 w 1802"/>
              <a:gd name="T41" fmla="*/ 295 h 459"/>
              <a:gd name="T42" fmla="*/ 528 w 1802"/>
              <a:gd name="T43" fmla="*/ 251 h 459"/>
              <a:gd name="T44" fmla="*/ 633 w 1802"/>
              <a:gd name="T45" fmla="*/ 214 h 459"/>
              <a:gd name="T46" fmla="*/ 740 w 1802"/>
              <a:gd name="T47" fmla="*/ 183 h 459"/>
              <a:gd name="T48" fmla="*/ 846 w 1802"/>
              <a:gd name="T49" fmla="*/ 159 h 459"/>
              <a:gd name="T50" fmla="*/ 955 w 1802"/>
              <a:gd name="T51" fmla="*/ 140 h 459"/>
              <a:gd name="T52" fmla="*/ 1064 w 1802"/>
              <a:gd name="T53" fmla="*/ 128 h 459"/>
              <a:gd name="T54" fmla="*/ 1172 w 1802"/>
              <a:gd name="T55" fmla="*/ 122 h 459"/>
              <a:gd name="T56" fmla="*/ 1279 w 1802"/>
              <a:gd name="T57" fmla="*/ 124 h 459"/>
              <a:gd name="T58" fmla="*/ 1386 w 1802"/>
              <a:gd name="T59" fmla="*/ 131 h 459"/>
              <a:gd name="T60" fmla="*/ 1489 w 1802"/>
              <a:gd name="T61" fmla="*/ 144 h 459"/>
              <a:gd name="T62" fmla="*/ 1590 w 1802"/>
              <a:gd name="T63" fmla="*/ 166 h 459"/>
              <a:gd name="T64" fmla="*/ 1688 w 1802"/>
              <a:gd name="T65" fmla="*/ 194 h 459"/>
              <a:gd name="T66" fmla="*/ 1782 w 1802"/>
              <a:gd name="T67" fmla="*/ 229 h 459"/>
              <a:gd name="T68" fmla="*/ 1791 w 1802"/>
              <a:gd name="T69" fmla="*/ 232 h 459"/>
              <a:gd name="T70" fmla="*/ 1800 w 1802"/>
              <a:gd name="T71" fmla="*/ 231 h 459"/>
              <a:gd name="T72" fmla="*/ 1800 w 1802"/>
              <a:gd name="T73" fmla="*/ 221 h 459"/>
              <a:gd name="T74" fmla="*/ 1783 w 1802"/>
              <a:gd name="T75" fmla="*/ 207 h 459"/>
              <a:gd name="T76" fmla="*/ 1769 w 1802"/>
              <a:gd name="T77" fmla="*/ 197 h 4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802" h="459">
                <a:moveTo>
                  <a:pt x="1725" y="175"/>
                </a:moveTo>
                <a:lnTo>
                  <a:pt x="1725" y="175"/>
                </a:lnTo>
                <a:lnTo>
                  <a:pt x="1666" y="150"/>
                </a:lnTo>
                <a:lnTo>
                  <a:pt x="1607" y="126"/>
                </a:lnTo>
                <a:lnTo>
                  <a:pt x="1548" y="104"/>
                </a:lnTo>
                <a:lnTo>
                  <a:pt x="1489" y="85"/>
                </a:lnTo>
                <a:lnTo>
                  <a:pt x="1430" y="69"/>
                </a:lnTo>
                <a:lnTo>
                  <a:pt x="1371" y="52"/>
                </a:lnTo>
                <a:lnTo>
                  <a:pt x="1312" y="39"/>
                </a:lnTo>
                <a:lnTo>
                  <a:pt x="1255" y="28"/>
                </a:lnTo>
                <a:lnTo>
                  <a:pt x="1196" y="19"/>
                </a:lnTo>
                <a:lnTo>
                  <a:pt x="1137" y="11"/>
                </a:lnTo>
                <a:lnTo>
                  <a:pt x="1080" y="6"/>
                </a:lnTo>
                <a:lnTo>
                  <a:pt x="1023" y="2"/>
                </a:lnTo>
                <a:lnTo>
                  <a:pt x="966" y="0"/>
                </a:lnTo>
                <a:lnTo>
                  <a:pt x="909" y="2"/>
                </a:lnTo>
                <a:lnTo>
                  <a:pt x="852" y="4"/>
                </a:lnTo>
                <a:lnTo>
                  <a:pt x="797" y="6"/>
                </a:lnTo>
                <a:lnTo>
                  <a:pt x="742" y="11"/>
                </a:lnTo>
                <a:lnTo>
                  <a:pt x="686" y="19"/>
                </a:lnTo>
                <a:lnTo>
                  <a:pt x="633" y="28"/>
                </a:lnTo>
                <a:lnTo>
                  <a:pt x="580" y="37"/>
                </a:lnTo>
                <a:lnTo>
                  <a:pt x="526" y="50"/>
                </a:lnTo>
                <a:lnTo>
                  <a:pt x="475" y="63"/>
                </a:lnTo>
                <a:lnTo>
                  <a:pt x="423" y="78"/>
                </a:lnTo>
                <a:lnTo>
                  <a:pt x="372" y="94"/>
                </a:lnTo>
                <a:lnTo>
                  <a:pt x="322" y="113"/>
                </a:lnTo>
                <a:lnTo>
                  <a:pt x="274" y="131"/>
                </a:lnTo>
                <a:lnTo>
                  <a:pt x="226" y="151"/>
                </a:lnTo>
                <a:lnTo>
                  <a:pt x="178" y="174"/>
                </a:lnTo>
                <a:lnTo>
                  <a:pt x="132" y="197"/>
                </a:lnTo>
                <a:lnTo>
                  <a:pt x="88" y="221"/>
                </a:lnTo>
                <a:lnTo>
                  <a:pt x="44" y="247"/>
                </a:lnTo>
                <a:lnTo>
                  <a:pt x="0" y="273"/>
                </a:lnTo>
                <a:lnTo>
                  <a:pt x="140" y="459"/>
                </a:lnTo>
                <a:lnTo>
                  <a:pt x="140" y="459"/>
                </a:lnTo>
                <a:lnTo>
                  <a:pt x="186" y="428"/>
                </a:lnTo>
                <a:lnTo>
                  <a:pt x="232" y="398"/>
                </a:lnTo>
                <a:lnTo>
                  <a:pt x="279" y="371"/>
                </a:lnTo>
                <a:lnTo>
                  <a:pt x="327" y="343"/>
                </a:lnTo>
                <a:lnTo>
                  <a:pt x="377" y="319"/>
                </a:lnTo>
                <a:lnTo>
                  <a:pt x="427" y="295"/>
                </a:lnTo>
                <a:lnTo>
                  <a:pt x="476" y="273"/>
                </a:lnTo>
                <a:lnTo>
                  <a:pt x="528" y="251"/>
                </a:lnTo>
                <a:lnTo>
                  <a:pt x="580" y="232"/>
                </a:lnTo>
                <a:lnTo>
                  <a:pt x="633" y="214"/>
                </a:lnTo>
                <a:lnTo>
                  <a:pt x="686" y="197"/>
                </a:lnTo>
                <a:lnTo>
                  <a:pt x="740" y="183"/>
                </a:lnTo>
                <a:lnTo>
                  <a:pt x="793" y="170"/>
                </a:lnTo>
                <a:lnTo>
                  <a:pt x="846" y="159"/>
                </a:lnTo>
                <a:lnTo>
                  <a:pt x="902" y="148"/>
                </a:lnTo>
                <a:lnTo>
                  <a:pt x="955" y="140"/>
                </a:lnTo>
                <a:lnTo>
                  <a:pt x="1010" y="133"/>
                </a:lnTo>
                <a:lnTo>
                  <a:pt x="1064" y="128"/>
                </a:lnTo>
                <a:lnTo>
                  <a:pt x="1119" y="124"/>
                </a:lnTo>
                <a:lnTo>
                  <a:pt x="1172" y="122"/>
                </a:lnTo>
                <a:lnTo>
                  <a:pt x="1226" y="122"/>
                </a:lnTo>
                <a:lnTo>
                  <a:pt x="1279" y="124"/>
                </a:lnTo>
                <a:lnTo>
                  <a:pt x="1332" y="126"/>
                </a:lnTo>
                <a:lnTo>
                  <a:pt x="1386" y="131"/>
                </a:lnTo>
                <a:lnTo>
                  <a:pt x="1437" y="137"/>
                </a:lnTo>
                <a:lnTo>
                  <a:pt x="1489" y="144"/>
                </a:lnTo>
                <a:lnTo>
                  <a:pt x="1540" y="155"/>
                </a:lnTo>
                <a:lnTo>
                  <a:pt x="1590" y="166"/>
                </a:lnTo>
                <a:lnTo>
                  <a:pt x="1640" y="179"/>
                </a:lnTo>
                <a:lnTo>
                  <a:pt x="1688" y="194"/>
                </a:lnTo>
                <a:lnTo>
                  <a:pt x="1736" y="210"/>
                </a:lnTo>
                <a:lnTo>
                  <a:pt x="1782" y="229"/>
                </a:lnTo>
                <a:lnTo>
                  <a:pt x="1782" y="229"/>
                </a:lnTo>
                <a:lnTo>
                  <a:pt x="1791" y="232"/>
                </a:lnTo>
                <a:lnTo>
                  <a:pt x="1796" y="232"/>
                </a:lnTo>
                <a:lnTo>
                  <a:pt x="1800" y="231"/>
                </a:lnTo>
                <a:lnTo>
                  <a:pt x="1802" y="227"/>
                </a:lnTo>
                <a:lnTo>
                  <a:pt x="1800" y="221"/>
                </a:lnTo>
                <a:lnTo>
                  <a:pt x="1795" y="214"/>
                </a:lnTo>
                <a:lnTo>
                  <a:pt x="1783" y="207"/>
                </a:lnTo>
                <a:lnTo>
                  <a:pt x="1769" y="197"/>
                </a:lnTo>
                <a:lnTo>
                  <a:pt x="1769" y="197"/>
                </a:lnTo>
                <a:lnTo>
                  <a:pt x="1725" y="175"/>
                </a:lnTo>
                <a:close/>
              </a:path>
            </a:pathLst>
          </a:custGeom>
          <a:solidFill>
            <a:srgbClr val="0078AE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5" name="Freeform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/>
          </xdr:cNvSpPr>
        </xdr:nvSpPr>
        <xdr:spPr bwMode="blackGray">
          <a:xfrm>
            <a:off x="7477968" y="237897"/>
            <a:ext cx="234241" cy="60099"/>
          </a:xfrm>
          <a:custGeom>
            <a:avLst/>
            <a:gdLst>
              <a:gd name="T0" fmla="*/ 1725 w 1802"/>
              <a:gd name="T1" fmla="*/ 175 h 459"/>
              <a:gd name="T2" fmla="*/ 1607 w 1802"/>
              <a:gd name="T3" fmla="*/ 126 h 459"/>
              <a:gd name="T4" fmla="*/ 1489 w 1802"/>
              <a:gd name="T5" fmla="*/ 85 h 459"/>
              <a:gd name="T6" fmla="*/ 1371 w 1802"/>
              <a:gd name="T7" fmla="*/ 52 h 459"/>
              <a:gd name="T8" fmla="*/ 1255 w 1802"/>
              <a:gd name="T9" fmla="*/ 28 h 459"/>
              <a:gd name="T10" fmla="*/ 1137 w 1802"/>
              <a:gd name="T11" fmla="*/ 11 h 459"/>
              <a:gd name="T12" fmla="*/ 1023 w 1802"/>
              <a:gd name="T13" fmla="*/ 2 h 459"/>
              <a:gd name="T14" fmla="*/ 909 w 1802"/>
              <a:gd name="T15" fmla="*/ 2 h 459"/>
              <a:gd name="T16" fmla="*/ 797 w 1802"/>
              <a:gd name="T17" fmla="*/ 6 h 459"/>
              <a:gd name="T18" fmla="*/ 686 w 1802"/>
              <a:gd name="T19" fmla="*/ 19 h 459"/>
              <a:gd name="T20" fmla="*/ 580 w 1802"/>
              <a:gd name="T21" fmla="*/ 37 h 459"/>
              <a:gd name="T22" fmla="*/ 475 w 1802"/>
              <a:gd name="T23" fmla="*/ 63 h 459"/>
              <a:gd name="T24" fmla="*/ 372 w 1802"/>
              <a:gd name="T25" fmla="*/ 94 h 459"/>
              <a:gd name="T26" fmla="*/ 274 w 1802"/>
              <a:gd name="T27" fmla="*/ 131 h 459"/>
              <a:gd name="T28" fmla="*/ 178 w 1802"/>
              <a:gd name="T29" fmla="*/ 174 h 459"/>
              <a:gd name="T30" fmla="*/ 88 w 1802"/>
              <a:gd name="T31" fmla="*/ 221 h 459"/>
              <a:gd name="T32" fmla="*/ 0 w 1802"/>
              <a:gd name="T33" fmla="*/ 273 h 459"/>
              <a:gd name="T34" fmla="*/ 140 w 1802"/>
              <a:gd name="T35" fmla="*/ 459 h 459"/>
              <a:gd name="T36" fmla="*/ 232 w 1802"/>
              <a:gd name="T37" fmla="*/ 398 h 459"/>
              <a:gd name="T38" fmla="*/ 327 w 1802"/>
              <a:gd name="T39" fmla="*/ 343 h 459"/>
              <a:gd name="T40" fmla="*/ 427 w 1802"/>
              <a:gd name="T41" fmla="*/ 295 h 459"/>
              <a:gd name="T42" fmla="*/ 528 w 1802"/>
              <a:gd name="T43" fmla="*/ 251 h 459"/>
              <a:gd name="T44" fmla="*/ 633 w 1802"/>
              <a:gd name="T45" fmla="*/ 214 h 459"/>
              <a:gd name="T46" fmla="*/ 740 w 1802"/>
              <a:gd name="T47" fmla="*/ 183 h 459"/>
              <a:gd name="T48" fmla="*/ 846 w 1802"/>
              <a:gd name="T49" fmla="*/ 159 h 459"/>
              <a:gd name="T50" fmla="*/ 955 w 1802"/>
              <a:gd name="T51" fmla="*/ 140 h 459"/>
              <a:gd name="T52" fmla="*/ 1064 w 1802"/>
              <a:gd name="T53" fmla="*/ 128 h 459"/>
              <a:gd name="T54" fmla="*/ 1172 w 1802"/>
              <a:gd name="T55" fmla="*/ 122 h 459"/>
              <a:gd name="T56" fmla="*/ 1279 w 1802"/>
              <a:gd name="T57" fmla="*/ 124 h 459"/>
              <a:gd name="T58" fmla="*/ 1386 w 1802"/>
              <a:gd name="T59" fmla="*/ 131 h 459"/>
              <a:gd name="T60" fmla="*/ 1489 w 1802"/>
              <a:gd name="T61" fmla="*/ 144 h 459"/>
              <a:gd name="T62" fmla="*/ 1590 w 1802"/>
              <a:gd name="T63" fmla="*/ 166 h 459"/>
              <a:gd name="T64" fmla="*/ 1688 w 1802"/>
              <a:gd name="T65" fmla="*/ 194 h 459"/>
              <a:gd name="T66" fmla="*/ 1782 w 1802"/>
              <a:gd name="T67" fmla="*/ 229 h 459"/>
              <a:gd name="T68" fmla="*/ 1791 w 1802"/>
              <a:gd name="T69" fmla="*/ 232 h 459"/>
              <a:gd name="T70" fmla="*/ 1800 w 1802"/>
              <a:gd name="T71" fmla="*/ 231 h 459"/>
              <a:gd name="T72" fmla="*/ 1800 w 1802"/>
              <a:gd name="T73" fmla="*/ 221 h 459"/>
              <a:gd name="T74" fmla="*/ 1783 w 1802"/>
              <a:gd name="T75" fmla="*/ 207 h 459"/>
              <a:gd name="T76" fmla="*/ 1769 w 1802"/>
              <a:gd name="T77" fmla="*/ 197 h 4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802" h="459">
                <a:moveTo>
                  <a:pt x="1725" y="175"/>
                </a:moveTo>
                <a:lnTo>
                  <a:pt x="1725" y="175"/>
                </a:lnTo>
                <a:lnTo>
                  <a:pt x="1666" y="150"/>
                </a:lnTo>
                <a:lnTo>
                  <a:pt x="1607" y="126"/>
                </a:lnTo>
                <a:lnTo>
                  <a:pt x="1548" y="104"/>
                </a:lnTo>
                <a:lnTo>
                  <a:pt x="1489" y="85"/>
                </a:lnTo>
                <a:lnTo>
                  <a:pt x="1430" y="69"/>
                </a:lnTo>
                <a:lnTo>
                  <a:pt x="1371" y="52"/>
                </a:lnTo>
                <a:lnTo>
                  <a:pt x="1312" y="39"/>
                </a:lnTo>
                <a:lnTo>
                  <a:pt x="1255" y="28"/>
                </a:lnTo>
                <a:lnTo>
                  <a:pt x="1196" y="19"/>
                </a:lnTo>
                <a:lnTo>
                  <a:pt x="1137" y="11"/>
                </a:lnTo>
                <a:lnTo>
                  <a:pt x="1080" y="6"/>
                </a:lnTo>
                <a:lnTo>
                  <a:pt x="1023" y="2"/>
                </a:lnTo>
                <a:lnTo>
                  <a:pt x="966" y="0"/>
                </a:lnTo>
                <a:lnTo>
                  <a:pt x="909" y="2"/>
                </a:lnTo>
                <a:lnTo>
                  <a:pt x="852" y="4"/>
                </a:lnTo>
                <a:lnTo>
                  <a:pt x="797" y="6"/>
                </a:lnTo>
                <a:lnTo>
                  <a:pt x="742" y="11"/>
                </a:lnTo>
                <a:lnTo>
                  <a:pt x="686" y="19"/>
                </a:lnTo>
                <a:lnTo>
                  <a:pt x="633" y="28"/>
                </a:lnTo>
                <a:lnTo>
                  <a:pt x="580" y="37"/>
                </a:lnTo>
                <a:lnTo>
                  <a:pt x="526" y="50"/>
                </a:lnTo>
                <a:lnTo>
                  <a:pt x="475" y="63"/>
                </a:lnTo>
                <a:lnTo>
                  <a:pt x="423" y="78"/>
                </a:lnTo>
                <a:lnTo>
                  <a:pt x="372" y="94"/>
                </a:lnTo>
                <a:lnTo>
                  <a:pt x="322" y="113"/>
                </a:lnTo>
                <a:lnTo>
                  <a:pt x="274" y="131"/>
                </a:lnTo>
                <a:lnTo>
                  <a:pt x="226" y="151"/>
                </a:lnTo>
                <a:lnTo>
                  <a:pt x="178" y="174"/>
                </a:lnTo>
                <a:lnTo>
                  <a:pt x="132" y="197"/>
                </a:lnTo>
                <a:lnTo>
                  <a:pt x="88" y="221"/>
                </a:lnTo>
                <a:lnTo>
                  <a:pt x="44" y="247"/>
                </a:lnTo>
                <a:lnTo>
                  <a:pt x="0" y="273"/>
                </a:lnTo>
                <a:lnTo>
                  <a:pt x="140" y="459"/>
                </a:lnTo>
                <a:lnTo>
                  <a:pt x="140" y="459"/>
                </a:lnTo>
                <a:lnTo>
                  <a:pt x="186" y="428"/>
                </a:lnTo>
                <a:lnTo>
                  <a:pt x="232" y="398"/>
                </a:lnTo>
                <a:lnTo>
                  <a:pt x="279" y="371"/>
                </a:lnTo>
                <a:lnTo>
                  <a:pt x="327" y="343"/>
                </a:lnTo>
                <a:lnTo>
                  <a:pt x="377" y="319"/>
                </a:lnTo>
                <a:lnTo>
                  <a:pt x="427" y="295"/>
                </a:lnTo>
                <a:lnTo>
                  <a:pt x="476" y="273"/>
                </a:lnTo>
                <a:lnTo>
                  <a:pt x="528" y="251"/>
                </a:lnTo>
                <a:lnTo>
                  <a:pt x="580" y="232"/>
                </a:lnTo>
                <a:lnTo>
                  <a:pt x="633" y="214"/>
                </a:lnTo>
                <a:lnTo>
                  <a:pt x="686" y="197"/>
                </a:lnTo>
                <a:lnTo>
                  <a:pt x="740" y="183"/>
                </a:lnTo>
                <a:lnTo>
                  <a:pt x="793" y="170"/>
                </a:lnTo>
                <a:lnTo>
                  <a:pt x="846" y="159"/>
                </a:lnTo>
                <a:lnTo>
                  <a:pt x="902" y="148"/>
                </a:lnTo>
                <a:lnTo>
                  <a:pt x="955" y="140"/>
                </a:lnTo>
                <a:lnTo>
                  <a:pt x="1010" y="133"/>
                </a:lnTo>
                <a:lnTo>
                  <a:pt x="1064" y="128"/>
                </a:lnTo>
                <a:lnTo>
                  <a:pt x="1119" y="124"/>
                </a:lnTo>
                <a:lnTo>
                  <a:pt x="1172" y="122"/>
                </a:lnTo>
                <a:lnTo>
                  <a:pt x="1226" y="122"/>
                </a:lnTo>
                <a:lnTo>
                  <a:pt x="1279" y="124"/>
                </a:lnTo>
                <a:lnTo>
                  <a:pt x="1332" y="126"/>
                </a:lnTo>
                <a:lnTo>
                  <a:pt x="1386" y="131"/>
                </a:lnTo>
                <a:lnTo>
                  <a:pt x="1437" y="137"/>
                </a:lnTo>
                <a:lnTo>
                  <a:pt x="1489" y="144"/>
                </a:lnTo>
                <a:lnTo>
                  <a:pt x="1540" y="155"/>
                </a:lnTo>
                <a:lnTo>
                  <a:pt x="1590" y="166"/>
                </a:lnTo>
                <a:lnTo>
                  <a:pt x="1640" y="179"/>
                </a:lnTo>
                <a:lnTo>
                  <a:pt x="1688" y="194"/>
                </a:lnTo>
                <a:lnTo>
                  <a:pt x="1736" y="210"/>
                </a:lnTo>
                <a:lnTo>
                  <a:pt x="1782" y="229"/>
                </a:lnTo>
                <a:lnTo>
                  <a:pt x="1782" y="229"/>
                </a:lnTo>
                <a:lnTo>
                  <a:pt x="1791" y="232"/>
                </a:lnTo>
                <a:lnTo>
                  <a:pt x="1796" y="232"/>
                </a:lnTo>
                <a:lnTo>
                  <a:pt x="1800" y="231"/>
                </a:lnTo>
                <a:lnTo>
                  <a:pt x="1802" y="227"/>
                </a:lnTo>
                <a:lnTo>
                  <a:pt x="1800" y="221"/>
                </a:lnTo>
                <a:lnTo>
                  <a:pt x="1795" y="214"/>
                </a:lnTo>
                <a:lnTo>
                  <a:pt x="1783" y="207"/>
                </a:lnTo>
                <a:lnTo>
                  <a:pt x="1769" y="197"/>
                </a:lnTo>
                <a:lnTo>
                  <a:pt x="1769" y="197"/>
                </a:lnTo>
                <a:lnTo>
                  <a:pt x="1725" y="175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6" name="Freeform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/>
          </xdr:cNvSpPr>
        </xdr:nvSpPr>
        <xdr:spPr bwMode="blackGray">
          <a:xfrm>
            <a:off x="7545752" y="292845"/>
            <a:ext cx="202494" cy="93583"/>
          </a:xfrm>
          <a:custGeom>
            <a:avLst/>
            <a:gdLst>
              <a:gd name="T0" fmla="*/ 1484 w 1561"/>
              <a:gd name="T1" fmla="*/ 28 h 718"/>
              <a:gd name="T2" fmla="*/ 1408 w 1561"/>
              <a:gd name="T3" fmla="*/ 15 h 718"/>
              <a:gd name="T4" fmla="*/ 1331 w 1561"/>
              <a:gd name="T5" fmla="*/ 6 h 718"/>
              <a:gd name="T6" fmla="*/ 1248 w 1561"/>
              <a:gd name="T7" fmla="*/ 0 h 718"/>
              <a:gd name="T8" fmla="*/ 1163 w 1561"/>
              <a:gd name="T9" fmla="*/ 2 h 718"/>
              <a:gd name="T10" fmla="*/ 1075 w 1561"/>
              <a:gd name="T11" fmla="*/ 9 h 718"/>
              <a:gd name="T12" fmla="*/ 985 w 1561"/>
              <a:gd name="T13" fmla="*/ 22 h 718"/>
              <a:gd name="T14" fmla="*/ 891 w 1561"/>
              <a:gd name="T15" fmla="*/ 41 h 718"/>
              <a:gd name="T16" fmla="*/ 797 w 1561"/>
              <a:gd name="T17" fmla="*/ 66 h 718"/>
              <a:gd name="T18" fmla="*/ 699 w 1561"/>
              <a:gd name="T19" fmla="*/ 100 h 718"/>
              <a:gd name="T20" fmla="*/ 602 w 1561"/>
              <a:gd name="T21" fmla="*/ 138 h 718"/>
              <a:gd name="T22" fmla="*/ 502 w 1561"/>
              <a:gd name="T23" fmla="*/ 184 h 718"/>
              <a:gd name="T24" fmla="*/ 401 w 1561"/>
              <a:gd name="T25" fmla="*/ 240 h 718"/>
              <a:gd name="T26" fmla="*/ 302 w 1561"/>
              <a:gd name="T27" fmla="*/ 300 h 718"/>
              <a:gd name="T28" fmla="*/ 200 w 1561"/>
              <a:gd name="T29" fmla="*/ 370 h 718"/>
              <a:gd name="T30" fmla="*/ 99 w 1561"/>
              <a:gd name="T31" fmla="*/ 448 h 718"/>
              <a:gd name="T32" fmla="*/ 0 w 1561"/>
              <a:gd name="T33" fmla="*/ 534 h 718"/>
              <a:gd name="T34" fmla="*/ 140 w 1561"/>
              <a:gd name="T35" fmla="*/ 718 h 718"/>
              <a:gd name="T36" fmla="*/ 224 w 1561"/>
              <a:gd name="T37" fmla="*/ 639 h 718"/>
              <a:gd name="T38" fmla="*/ 313 w 1561"/>
              <a:gd name="T39" fmla="*/ 564 h 718"/>
              <a:gd name="T40" fmla="*/ 401 w 1561"/>
              <a:gd name="T41" fmla="*/ 494 h 718"/>
              <a:gd name="T42" fmla="*/ 493 w 1561"/>
              <a:gd name="T43" fmla="*/ 427 h 718"/>
              <a:gd name="T44" fmla="*/ 585 w 1561"/>
              <a:gd name="T45" fmla="*/ 367 h 718"/>
              <a:gd name="T46" fmla="*/ 679 w 1561"/>
              <a:gd name="T47" fmla="*/ 310 h 718"/>
              <a:gd name="T48" fmla="*/ 773 w 1561"/>
              <a:gd name="T49" fmla="*/ 258 h 718"/>
              <a:gd name="T50" fmla="*/ 865 w 1561"/>
              <a:gd name="T51" fmla="*/ 212 h 718"/>
              <a:gd name="T52" fmla="*/ 957 w 1561"/>
              <a:gd name="T53" fmla="*/ 171 h 718"/>
              <a:gd name="T54" fmla="*/ 1049 w 1561"/>
              <a:gd name="T55" fmla="*/ 136 h 718"/>
              <a:gd name="T56" fmla="*/ 1139 w 1561"/>
              <a:gd name="T57" fmla="*/ 107 h 718"/>
              <a:gd name="T58" fmla="*/ 1226 w 1561"/>
              <a:gd name="T59" fmla="*/ 85 h 718"/>
              <a:gd name="T60" fmla="*/ 1310 w 1561"/>
              <a:gd name="T61" fmla="*/ 68 h 718"/>
              <a:gd name="T62" fmla="*/ 1393 w 1561"/>
              <a:gd name="T63" fmla="*/ 59 h 718"/>
              <a:gd name="T64" fmla="*/ 1471 w 1561"/>
              <a:gd name="T65" fmla="*/ 55 h 718"/>
              <a:gd name="T66" fmla="*/ 1546 w 1561"/>
              <a:gd name="T67" fmla="*/ 61 h 718"/>
              <a:gd name="T68" fmla="*/ 1552 w 1561"/>
              <a:gd name="T69" fmla="*/ 61 h 718"/>
              <a:gd name="T70" fmla="*/ 1559 w 1561"/>
              <a:gd name="T71" fmla="*/ 57 h 718"/>
              <a:gd name="T72" fmla="*/ 1557 w 1561"/>
              <a:gd name="T73" fmla="*/ 52 h 718"/>
              <a:gd name="T74" fmla="*/ 1544 w 1561"/>
              <a:gd name="T75" fmla="*/ 44 h 718"/>
              <a:gd name="T76" fmla="*/ 1531 w 1561"/>
              <a:gd name="T77" fmla="*/ 41 h 7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561" h="718">
                <a:moveTo>
                  <a:pt x="1484" y="28"/>
                </a:moveTo>
                <a:lnTo>
                  <a:pt x="1484" y="28"/>
                </a:lnTo>
                <a:lnTo>
                  <a:pt x="1447" y="20"/>
                </a:lnTo>
                <a:lnTo>
                  <a:pt x="1408" y="15"/>
                </a:lnTo>
                <a:lnTo>
                  <a:pt x="1369" y="9"/>
                </a:lnTo>
                <a:lnTo>
                  <a:pt x="1331" y="6"/>
                </a:lnTo>
                <a:lnTo>
                  <a:pt x="1290" y="2"/>
                </a:lnTo>
                <a:lnTo>
                  <a:pt x="1248" y="0"/>
                </a:lnTo>
                <a:lnTo>
                  <a:pt x="1206" y="0"/>
                </a:lnTo>
                <a:lnTo>
                  <a:pt x="1163" y="2"/>
                </a:lnTo>
                <a:lnTo>
                  <a:pt x="1119" y="6"/>
                </a:lnTo>
                <a:lnTo>
                  <a:pt x="1075" y="9"/>
                </a:lnTo>
                <a:lnTo>
                  <a:pt x="1031" y="15"/>
                </a:lnTo>
                <a:lnTo>
                  <a:pt x="985" y="22"/>
                </a:lnTo>
                <a:lnTo>
                  <a:pt x="939" y="31"/>
                </a:lnTo>
                <a:lnTo>
                  <a:pt x="891" y="41"/>
                </a:lnTo>
                <a:lnTo>
                  <a:pt x="845" y="54"/>
                </a:lnTo>
                <a:lnTo>
                  <a:pt x="797" y="66"/>
                </a:lnTo>
                <a:lnTo>
                  <a:pt x="747" y="83"/>
                </a:lnTo>
                <a:lnTo>
                  <a:pt x="699" y="100"/>
                </a:lnTo>
                <a:lnTo>
                  <a:pt x="650" y="118"/>
                </a:lnTo>
                <a:lnTo>
                  <a:pt x="602" y="138"/>
                </a:lnTo>
                <a:lnTo>
                  <a:pt x="552" y="160"/>
                </a:lnTo>
                <a:lnTo>
                  <a:pt x="502" y="184"/>
                </a:lnTo>
                <a:lnTo>
                  <a:pt x="451" y="212"/>
                </a:lnTo>
                <a:lnTo>
                  <a:pt x="401" y="240"/>
                </a:lnTo>
                <a:lnTo>
                  <a:pt x="351" y="269"/>
                </a:lnTo>
                <a:lnTo>
                  <a:pt x="302" y="300"/>
                </a:lnTo>
                <a:lnTo>
                  <a:pt x="250" y="333"/>
                </a:lnTo>
                <a:lnTo>
                  <a:pt x="200" y="370"/>
                </a:lnTo>
                <a:lnTo>
                  <a:pt x="151" y="407"/>
                </a:lnTo>
                <a:lnTo>
                  <a:pt x="99" y="448"/>
                </a:lnTo>
                <a:lnTo>
                  <a:pt x="50" y="490"/>
                </a:lnTo>
                <a:lnTo>
                  <a:pt x="0" y="534"/>
                </a:lnTo>
                <a:lnTo>
                  <a:pt x="140" y="718"/>
                </a:lnTo>
                <a:lnTo>
                  <a:pt x="140" y="718"/>
                </a:lnTo>
                <a:lnTo>
                  <a:pt x="182" y="678"/>
                </a:lnTo>
                <a:lnTo>
                  <a:pt x="224" y="639"/>
                </a:lnTo>
                <a:lnTo>
                  <a:pt x="269" y="601"/>
                </a:lnTo>
                <a:lnTo>
                  <a:pt x="313" y="564"/>
                </a:lnTo>
                <a:lnTo>
                  <a:pt x="357" y="529"/>
                </a:lnTo>
                <a:lnTo>
                  <a:pt x="401" y="494"/>
                </a:lnTo>
                <a:lnTo>
                  <a:pt x="447" y="461"/>
                </a:lnTo>
                <a:lnTo>
                  <a:pt x="493" y="427"/>
                </a:lnTo>
                <a:lnTo>
                  <a:pt x="539" y="396"/>
                </a:lnTo>
                <a:lnTo>
                  <a:pt x="585" y="367"/>
                </a:lnTo>
                <a:lnTo>
                  <a:pt x="631" y="337"/>
                </a:lnTo>
                <a:lnTo>
                  <a:pt x="679" y="310"/>
                </a:lnTo>
                <a:lnTo>
                  <a:pt x="725" y="284"/>
                </a:lnTo>
                <a:lnTo>
                  <a:pt x="773" y="258"/>
                </a:lnTo>
                <a:lnTo>
                  <a:pt x="819" y="234"/>
                </a:lnTo>
                <a:lnTo>
                  <a:pt x="865" y="212"/>
                </a:lnTo>
                <a:lnTo>
                  <a:pt x="911" y="192"/>
                </a:lnTo>
                <a:lnTo>
                  <a:pt x="957" y="171"/>
                </a:lnTo>
                <a:lnTo>
                  <a:pt x="1003" y="153"/>
                </a:lnTo>
                <a:lnTo>
                  <a:pt x="1049" y="136"/>
                </a:lnTo>
                <a:lnTo>
                  <a:pt x="1095" y="122"/>
                </a:lnTo>
                <a:lnTo>
                  <a:pt x="1139" y="107"/>
                </a:lnTo>
                <a:lnTo>
                  <a:pt x="1183" y="96"/>
                </a:lnTo>
                <a:lnTo>
                  <a:pt x="1226" y="85"/>
                </a:lnTo>
                <a:lnTo>
                  <a:pt x="1270" y="76"/>
                </a:lnTo>
                <a:lnTo>
                  <a:pt x="1310" y="68"/>
                </a:lnTo>
                <a:lnTo>
                  <a:pt x="1353" y="63"/>
                </a:lnTo>
                <a:lnTo>
                  <a:pt x="1393" y="59"/>
                </a:lnTo>
                <a:lnTo>
                  <a:pt x="1432" y="57"/>
                </a:lnTo>
                <a:lnTo>
                  <a:pt x="1471" y="55"/>
                </a:lnTo>
                <a:lnTo>
                  <a:pt x="1509" y="57"/>
                </a:lnTo>
                <a:lnTo>
                  <a:pt x="1546" y="61"/>
                </a:lnTo>
                <a:lnTo>
                  <a:pt x="1546" y="61"/>
                </a:lnTo>
                <a:lnTo>
                  <a:pt x="1552" y="61"/>
                </a:lnTo>
                <a:lnTo>
                  <a:pt x="1557" y="59"/>
                </a:lnTo>
                <a:lnTo>
                  <a:pt x="1559" y="57"/>
                </a:lnTo>
                <a:lnTo>
                  <a:pt x="1561" y="55"/>
                </a:lnTo>
                <a:lnTo>
                  <a:pt x="1557" y="52"/>
                </a:lnTo>
                <a:lnTo>
                  <a:pt x="1553" y="48"/>
                </a:lnTo>
                <a:lnTo>
                  <a:pt x="1544" y="44"/>
                </a:lnTo>
                <a:lnTo>
                  <a:pt x="1531" y="41"/>
                </a:lnTo>
                <a:lnTo>
                  <a:pt x="1531" y="41"/>
                </a:lnTo>
                <a:lnTo>
                  <a:pt x="1484" y="28"/>
                </a:lnTo>
                <a:close/>
              </a:path>
            </a:pathLst>
          </a:custGeom>
          <a:solidFill>
            <a:srgbClr val="0078AE"/>
          </a:solidFill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  <xdr:sp macro="" textlink="">
        <xdr:nvSpPr>
          <xdr:cNvPr id="37" name="Freeform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/>
          </xdr:cNvSpPr>
        </xdr:nvSpPr>
        <xdr:spPr bwMode="blackGray">
          <a:xfrm>
            <a:off x="7545752" y="292845"/>
            <a:ext cx="202494" cy="93583"/>
          </a:xfrm>
          <a:custGeom>
            <a:avLst/>
            <a:gdLst>
              <a:gd name="T0" fmla="*/ 1484 w 1561"/>
              <a:gd name="T1" fmla="*/ 28 h 718"/>
              <a:gd name="T2" fmla="*/ 1408 w 1561"/>
              <a:gd name="T3" fmla="*/ 15 h 718"/>
              <a:gd name="T4" fmla="*/ 1331 w 1561"/>
              <a:gd name="T5" fmla="*/ 6 h 718"/>
              <a:gd name="T6" fmla="*/ 1248 w 1561"/>
              <a:gd name="T7" fmla="*/ 0 h 718"/>
              <a:gd name="T8" fmla="*/ 1163 w 1561"/>
              <a:gd name="T9" fmla="*/ 2 h 718"/>
              <a:gd name="T10" fmla="*/ 1075 w 1561"/>
              <a:gd name="T11" fmla="*/ 9 h 718"/>
              <a:gd name="T12" fmla="*/ 985 w 1561"/>
              <a:gd name="T13" fmla="*/ 22 h 718"/>
              <a:gd name="T14" fmla="*/ 891 w 1561"/>
              <a:gd name="T15" fmla="*/ 41 h 718"/>
              <a:gd name="T16" fmla="*/ 797 w 1561"/>
              <a:gd name="T17" fmla="*/ 66 h 718"/>
              <a:gd name="T18" fmla="*/ 699 w 1561"/>
              <a:gd name="T19" fmla="*/ 100 h 718"/>
              <a:gd name="T20" fmla="*/ 602 w 1561"/>
              <a:gd name="T21" fmla="*/ 138 h 718"/>
              <a:gd name="T22" fmla="*/ 502 w 1561"/>
              <a:gd name="T23" fmla="*/ 184 h 718"/>
              <a:gd name="T24" fmla="*/ 401 w 1561"/>
              <a:gd name="T25" fmla="*/ 240 h 718"/>
              <a:gd name="T26" fmla="*/ 302 w 1561"/>
              <a:gd name="T27" fmla="*/ 300 h 718"/>
              <a:gd name="T28" fmla="*/ 200 w 1561"/>
              <a:gd name="T29" fmla="*/ 370 h 718"/>
              <a:gd name="T30" fmla="*/ 99 w 1561"/>
              <a:gd name="T31" fmla="*/ 448 h 718"/>
              <a:gd name="T32" fmla="*/ 0 w 1561"/>
              <a:gd name="T33" fmla="*/ 534 h 718"/>
              <a:gd name="T34" fmla="*/ 140 w 1561"/>
              <a:gd name="T35" fmla="*/ 718 h 718"/>
              <a:gd name="T36" fmla="*/ 224 w 1561"/>
              <a:gd name="T37" fmla="*/ 639 h 718"/>
              <a:gd name="T38" fmla="*/ 313 w 1561"/>
              <a:gd name="T39" fmla="*/ 564 h 718"/>
              <a:gd name="T40" fmla="*/ 401 w 1561"/>
              <a:gd name="T41" fmla="*/ 494 h 718"/>
              <a:gd name="T42" fmla="*/ 493 w 1561"/>
              <a:gd name="T43" fmla="*/ 427 h 718"/>
              <a:gd name="T44" fmla="*/ 585 w 1561"/>
              <a:gd name="T45" fmla="*/ 367 h 718"/>
              <a:gd name="T46" fmla="*/ 679 w 1561"/>
              <a:gd name="T47" fmla="*/ 310 h 718"/>
              <a:gd name="T48" fmla="*/ 773 w 1561"/>
              <a:gd name="T49" fmla="*/ 258 h 718"/>
              <a:gd name="T50" fmla="*/ 865 w 1561"/>
              <a:gd name="T51" fmla="*/ 212 h 718"/>
              <a:gd name="T52" fmla="*/ 957 w 1561"/>
              <a:gd name="T53" fmla="*/ 171 h 718"/>
              <a:gd name="T54" fmla="*/ 1049 w 1561"/>
              <a:gd name="T55" fmla="*/ 136 h 718"/>
              <a:gd name="T56" fmla="*/ 1139 w 1561"/>
              <a:gd name="T57" fmla="*/ 107 h 718"/>
              <a:gd name="T58" fmla="*/ 1226 w 1561"/>
              <a:gd name="T59" fmla="*/ 85 h 718"/>
              <a:gd name="T60" fmla="*/ 1310 w 1561"/>
              <a:gd name="T61" fmla="*/ 68 h 718"/>
              <a:gd name="T62" fmla="*/ 1393 w 1561"/>
              <a:gd name="T63" fmla="*/ 59 h 718"/>
              <a:gd name="T64" fmla="*/ 1471 w 1561"/>
              <a:gd name="T65" fmla="*/ 55 h 718"/>
              <a:gd name="T66" fmla="*/ 1546 w 1561"/>
              <a:gd name="T67" fmla="*/ 61 h 718"/>
              <a:gd name="T68" fmla="*/ 1552 w 1561"/>
              <a:gd name="T69" fmla="*/ 61 h 718"/>
              <a:gd name="T70" fmla="*/ 1559 w 1561"/>
              <a:gd name="T71" fmla="*/ 57 h 718"/>
              <a:gd name="T72" fmla="*/ 1557 w 1561"/>
              <a:gd name="T73" fmla="*/ 52 h 718"/>
              <a:gd name="T74" fmla="*/ 1544 w 1561"/>
              <a:gd name="T75" fmla="*/ 44 h 718"/>
              <a:gd name="T76" fmla="*/ 1531 w 1561"/>
              <a:gd name="T77" fmla="*/ 41 h 7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1561" h="718">
                <a:moveTo>
                  <a:pt x="1484" y="28"/>
                </a:moveTo>
                <a:lnTo>
                  <a:pt x="1484" y="28"/>
                </a:lnTo>
                <a:lnTo>
                  <a:pt x="1447" y="20"/>
                </a:lnTo>
                <a:lnTo>
                  <a:pt x="1408" y="15"/>
                </a:lnTo>
                <a:lnTo>
                  <a:pt x="1369" y="9"/>
                </a:lnTo>
                <a:lnTo>
                  <a:pt x="1331" y="6"/>
                </a:lnTo>
                <a:lnTo>
                  <a:pt x="1290" y="2"/>
                </a:lnTo>
                <a:lnTo>
                  <a:pt x="1248" y="0"/>
                </a:lnTo>
                <a:lnTo>
                  <a:pt x="1206" y="0"/>
                </a:lnTo>
                <a:lnTo>
                  <a:pt x="1163" y="2"/>
                </a:lnTo>
                <a:lnTo>
                  <a:pt x="1119" y="6"/>
                </a:lnTo>
                <a:lnTo>
                  <a:pt x="1075" y="9"/>
                </a:lnTo>
                <a:lnTo>
                  <a:pt x="1031" y="15"/>
                </a:lnTo>
                <a:lnTo>
                  <a:pt x="985" y="22"/>
                </a:lnTo>
                <a:lnTo>
                  <a:pt x="939" y="31"/>
                </a:lnTo>
                <a:lnTo>
                  <a:pt x="891" y="41"/>
                </a:lnTo>
                <a:lnTo>
                  <a:pt x="845" y="54"/>
                </a:lnTo>
                <a:lnTo>
                  <a:pt x="797" y="66"/>
                </a:lnTo>
                <a:lnTo>
                  <a:pt x="747" y="83"/>
                </a:lnTo>
                <a:lnTo>
                  <a:pt x="699" y="100"/>
                </a:lnTo>
                <a:lnTo>
                  <a:pt x="650" y="118"/>
                </a:lnTo>
                <a:lnTo>
                  <a:pt x="602" y="138"/>
                </a:lnTo>
                <a:lnTo>
                  <a:pt x="552" y="160"/>
                </a:lnTo>
                <a:lnTo>
                  <a:pt x="502" y="184"/>
                </a:lnTo>
                <a:lnTo>
                  <a:pt x="451" y="212"/>
                </a:lnTo>
                <a:lnTo>
                  <a:pt x="401" y="240"/>
                </a:lnTo>
                <a:lnTo>
                  <a:pt x="351" y="269"/>
                </a:lnTo>
                <a:lnTo>
                  <a:pt x="302" y="300"/>
                </a:lnTo>
                <a:lnTo>
                  <a:pt x="250" y="333"/>
                </a:lnTo>
                <a:lnTo>
                  <a:pt x="200" y="370"/>
                </a:lnTo>
                <a:lnTo>
                  <a:pt x="151" y="407"/>
                </a:lnTo>
                <a:lnTo>
                  <a:pt x="99" y="448"/>
                </a:lnTo>
                <a:lnTo>
                  <a:pt x="50" y="490"/>
                </a:lnTo>
                <a:lnTo>
                  <a:pt x="0" y="534"/>
                </a:lnTo>
                <a:lnTo>
                  <a:pt x="140" y="718"/>
                </a:lnTo>
                <a:lnTo>
                  <a:pt x="140" y="718"/>
                </a:lnTo>
                <a:lnTo>
                  <a:pt x="182" y="678"/>
                </a:lnTo>
                <a:lnTo>
                  <a:pt x="224" y="639"/>
                </a:lnTo>
                <a:lnTo>
                  <a:pt x="269" y="601"/>
                </a:lnTo>
                <a:lnTo>
                  <a:pt x="313" y="564"/>
                </a:lnTo>
                <a:lnTo>
                  <a:pt x="357" y="529"/>
                </a:lnTo>
                <a:lnTo>
                  <a:pt x="401" y="494"/>
                </a:lnTo>
                <a:lnTo>
                  <a:pt x="447" y="461"/>
                </a:lnTo>
                <a:lnTo>
                  <a:pt x="493" y="427"/>
                </a:lnTo>
                <a:lnTo>
                  <a:pt x="539" y="396"/>
                </a:lnTo>
                <a:lnTo>
                  <a:pt x="585" y="367"/>
                </a:lnTo>
                <a:lnTo>
                  <a:pt x="631" y="337"/>
                </a:lnTo>
                <a:lnTo>
                  <a:pt x="679" y="310"/>
                </a:lnTo>
                <a:lnTo>
                  <a:pt x="725" y="284"/>
                </a:lnTo>
                <a:lnTo>
                  <a:pt x="773" y="258"/>
                </a:lnTo>
                <a:lnTo>
                  <a:pt x="819" y="234"/>
                </a:lnTo>
                <a:lnTo>
                  <a:pt x="865" y="212"/>
                </a:lnTo>
                <a:lnTo>
                  <a:pt x="911" y="192"/>
                </a:lnTo>
                <a:lnTo>
                  <a:pt x="957" y="171"/>
                </a:lnTo>
                <a:lnTo>
                  <a:pt x="1003" y="153"/>
                </a:lnTo>
                <a:lnTo>
                  <a:pt x="1049" y="136"/>
                </a:lnTo>
                <a:lnTo>
                  <a:pt x="1095" y="122"/>
                </a:lnTo>
                <a:lnTo>
                  <a:pt x="1139" y="107"/>
                </a:lnTo>
                <a:lnTo>
                  <a:pt x="1183" y="96"/>
                </a:lnTo>
                <a:lnTo>
                  <a:pt x="1226" y="85"/>
                </a:lnTo>
                <a:lnTo>
                  <a:pt x="1270" y="76"/>
                </a:lnTo>
                <a:lnTo>
                  <a:pt x="1310" y="68"/>
                </a:lnTo>
                <a:lnTo>
                  <a:pt x="1353" y="63"/>
                </a:lnTo>
                <a:lnTo>
                  <a:pt x="1393" y="59"/>
                </a:lnTo>
                <a:lnTo>
                  <a:pt x="1432" y="57"/>
                </a:lnTo>
                <a:lnTo>
                  <a:pt x="1471" y="55"/>
                </a:lnTo>
                <a:lnTo>
                  <a:pt x="1509" y="57"/>
                </a:lnTo>
                <a:lnTo>
                  <a:pt x="1546" y="61"/>
                </a:lnTo>
                <a:lnTo>
                  <a:pt x="1546" y="61"/>
                </a:lnTo>
                <a:lnTo>
                  <a:pt x="1552" y="61"/>
                </a:lnTo>
                <a:lnTo>
                  <a:pt x="1557" y="59"/>
                </a:lnTo>
                <a:lnTo>
                  <a:pt x="1559" y="57"/>
                </a:lnTo>
                <a:lnTo>
                  <a:pt x="1561" y="55"/>
                </a:lnTo>
                <a:lnTo>
                  <a:pt x="1557" y="52"/>
                </a:lnTo>
                <a:lnTo>
                  <a:pt x="1553" y="48"/>
                </a:lnTo>
                <a:lnTo>
                  <a:pt x="1544" y="44"/>
                </a:lnTo>
                <a:lnTo>
                  <a:pt x="1531" y="41"/>
                </a:lnTo>
                <a:lnTo>
                  <a:pt x="1531" y="41"/>
                </a:lnTo>
                <a:lnTo>
                  <a:pt x="1484" y="28"/>
                </a:lnTo>
              </a:path>
            </a:pathLst>
          </a:custGeom>
          <a:noFill/>
          <a:ln>
            <a:noFill/>
          </a:ln>
          <a:ex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 Narrow" pitchFamily="34" charset="0"/>
                <a:ea typeface="+mn-ea"/>
                <a:cs typeface="+mn-cs"/>
              </a:defRPr>
            </a:lvl9pPr>
          </a:lstStyle>
          <a:p>
            <a:pPr fontAlgn="auto">
              <a:spcBef>
                <a:spcPts val="0"/>
              </a:spcBef>
              <a:spcAft>
                <a:spcPts val="0"/>
              </a:spcAft>
              <a:defRPr/>
            </a:pPr>
            <a:endParaRPr lang="en-GB">
              <a:latin typeface="+mn-lt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12</xdr:col>
      <xdr:colOff>65774</xdr:colOff>
      <xdr:row>44</xdr:row>
      <xdr:rowOff>170399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42875"/>
          <a:ext cx="7209524" cy="8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44</xdr:row>
      <xdr:rowOff>152400</xdr:rowOff>
    </xdr:from>
    <xdr:to>
      <xdr:col>12</xdr:col>
      <xdr:colOff>84815</xdr:colOff>
      <xdr:row>84</xdr:row>
      <xdr:rowOff>27638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8534400"/>
          <a:ext cx="7276190" cy="7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9525</xdr:rowOff>
    </xdr:from>
    <xdr:to>
      <xdr:col>8</xdr:col>
      <xdr:colOff>142248</xdr:colOff>
      <xdr:row>119</xdr:row>
      <xdr:rowOff>142001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821025"/>
          <a:ext cx="5019048" cy="69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11</xdr:col>
      <xdr:colOff>446781</xdr:colOff>
      <xdr:row>163</xdr:row>
      <xdr:rowOff>141833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2860000"/>
          <a:ext cx="7152381" cy="8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5"/>
  <sheetViews>
    <sheetView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C4" sqref="C4"/>
    </sheetView>
  </sheetViews>
  <sheetFormatPr defaultColWidth="9.140625" defaultRowHeight="12.75"/>
  <cols>
    <col min="1" max="1" width="16.42578125" style="58" customWidth="1"/>
    <col min="2" max="2" width="11.7109375" style="58" customWidth="1"/>
    <col min="3" max="3" width="26.42578125" style="58" customWidth="1"/>
    <col min="4" max="4" width="9.140625" style="58"/>
    <col min="5" max="5" width="0" style="58" hidden="1" customWidth="1"/>
    <col min="6" max="9" width="9.140625" style="58"/>
    <col min="10" max="10" width="0" style="58" hidden="1" customWidth="1"/>
    <col min="11" max="11" width="9.140625" style="58"/>
    <col min="12" max="12" width="10.28515625" style="58" hidden="1" customWidth="1"/>
    <col min="13" max="16" width="9.140625" style="58"/>
    <col min="17" max="17" width="0" style="58" hidden="1" customWidth="1"/>
    <col min="18" max="22" width="9.140625" style="58"/>
    <col min="23" max="23" width="0" style="58" hidden="1" customWidth="1"/>
    <col min="24" max="34" width="9.140625" style="58"/>
    <col min="35" max="35" width="0" style="58" hidden="1" customWidth="1"/>
    <col min="36" max="40" width="9.140625" style="58"/>
    <col min="41" max="41" width="0" style="58" hidden="1" customWidth="1"/>
    <col min="42" max="42" width="21.28515625" style="58" customWidth="1"/>
    <col min="43" max="46" width="9.140625" style="58"/>
    <col min="47" max="47" width="0" style="58" hidden="1" customWidth="1"/>
    <col min="48" max="48" width="21.28515625" style="58" customWidth="1"/>
    <col min="49" max="52" width="9.140625" style="58"/>
    <col min="53" max="53" width="0" style="58" hidden="1" customWidth="1"/>
    <col min="54" max="58" width="9.140625" style="58"/>
    <col min="59" max="59" width="0" style="58" hidden="1" customWidth="1"/>
    <col min="60" max="16384" width="9.140625" style="58"/>
  </cols>
  <sheetData>
    <row r="1" spans="1:86" ht="63.75">
      <c r="E1" s="66" t="s">
        <v>45</v>
      </c>
      <c r="F1" s="67" t="s">
        <v>46</v>
      </c>
      <c r="G1" s="67"/>
      <c r="H1" s="67"/>
      <c r="I1" s="67"/>
      <c r="J1" s="67"/>
      <c r="L1" s="66" t="s">
        <v>89</v>
      </c>
      <c r="M1" s="67" t="s">
        <v>87</v>
      </c>
      <c r="N1" s="67"/>
      <c r="O1" s="67"/>
      <c r="P1" s="67"/>
      <c r="Q1" s="67"/>
      <c r="S1" s="67" t="s">
        <v>101</v>
      </c>
      <c r="T1" s="67"/>
      <c r="U1" s="67"/>
      <c r="V1" s="67"/>
      <c r="W1" s="67"/>
      <c r="Y1" s="67" t="s">
        <v>42</v>
      </c>
      <c r="Z1" s="67"/>
      <c r="AA1" s="67"/>
      <c r="AB1" s="67"/>
      <c r="AC1" s="67"/>
      <c r="AE1" s="68" t="s">
        <v>36</v>
      </c>
      <c r="AF1" s="68"/>
      <c r="AG1" s="68"/>
      <c r="AH1" s="68"/>
      <c r="AI1" s="328"/>
      <c r="AK1" s="68" t="s">
        <v>37</v>
      </c>
      <c r="AL1" s="68"/>
      <c r="AM1" s="68"/>
      <c r="AN1" s="68"/>
      <c r="AO1" s="328"/>
      <c r="AQ1" s="68" t="s">
        <v>95</v>
      </c>
      <c r="AR1" s="68"/>
      <c r="AS1" s="68"/>
      <c r="AT1" s="68"/>
      <c r="AU1" s="328"/>
      <c r="AW1" s="68" t="s">
        <v>44</v>
      </c>
      <c r="AX1" s="68"/>
      <c r="AY1" s="68"/>
      <c r="AZ1" s="68"/>
      <c r="BA1" s="328"/>
      <c r="BC1" s="68" t="s">
        <v>38</v>
      </c>
      <c r="BD1" s="68"/>
      <c r="BE1" s="68"/>
      <c r="BF1" s="68"/>
      <c r="BG1" s="328"/>
      <c r="BI1" s="68" t="s">
        <v>39</v>
      </c>
      <c r="BJ1" s="68"/>
      <c r="BK1" s="68"/>
      <c r="BL1" s="68"/>
      <c r="BN1" s="68" t="s">
        <v>97</v>
      </c>
      <c r="BO1" s="68"/>
      <c r="BP1" s="68"/>
      <c r="BQ1" s="68"/>
      <c r="BS1" s="68" t="s">
        <v>49</v>
      </c>
      <c r="BT1" s="68"/>
      <c r="BU1" s="68"/>
      <c r="BV1" s="68"/>
      <c r="BX1" s="68" t="s">
        <v>43</v>
      </c>
      <c r="BY1" s="68"/>
      <c r="BZ1" s="68"/>
      <c r="CA1" s="68"/>
      <c r="CC1" s="68" t="s">
        <v>48</v>
      </c>
      <c r="CD1" s="68"/>
      <c r="CE1" s="68"/>
      <c r="CF1" s="68"/>
    </row>
    <row r="2" spans="1:86">
      <c r="A2" s="65" t="s">
        <v>92</v>
      </c>
      <c r="B2" s="65" t="s">
        <v>78</v>
      </c>
      <c r="C2" s="65" t="s">
        <v>82</v>
      </c>
      <c r="E2" s="69" t="s">
        <v>40</v>
      </c>
      <c r="F2" s="70">
        <v>2014</v>
      </c>
      <c r="G2" s="70" t="s">
        <v>12</v>
      </c>
      <c r="H2" s="70" t="s">
        <v>26</v>
      </c>
      <c r="I2" s="70" t="s">
        <v>88</v>
      </c>
      <c r="J2" s="70" t="s">
        <v>314</v>
      </c>
      <c r="L2" s="69" t="s">
        <v>40</v>
      </c>
      <c r="M2" s="70">
        <v>2014</v>
      </c>
      <c r="N2" s="70" t="s">
        <v>12</v>
      </c>
      <c r="O2" s="70" t="s">
        <v>26</v>
      </c>
      <c r="P2" s="70" t="s">
        <v>88</v>
      </c>
      <c r="Q2" s="70" t="s">
        <v>314</v>
      </c>
      <c r="S2" s="70">
        <v>2014</v>
      </c>
      <c r="T2" s="70" t="s">
        <v>12</v>
      </c>
      <c r="U2" s="70" t="s">
        <v>26</v>
      </c>
      <c r="V2" s="70" t="s">
        <v>88</v>
      </c>
      <c r="W2" s="70" t="s">
        <v>314</v>
      </c>
      <c r="Y2" s="70">
        <v>2014</v>
      </c>
      <c r="Z2" s="70" t="s">
        <v>12</v>
      </c>
      <c r="AA2" s="70" t="s">
        <v>26</v>
      </c>
      <c r="AB2" s="70" t="s">
        <v>88</v>
      </c>
      <c r="AC2" s="70" t="s">
        <v>314</v>
      </c>
      <c r="AE2" s="71">
        <v>2014</v>
      </c>
      <c r="AF2" s="71" t="s">
        <v>12</v>
      </c>
      <c r="AG2" s="71" t="s">
        <v>26</v>
      </c>
      <c r="AH2" s="71" t="s">
        <v>88</v>
      </c>
      <c r="AI2" s="70" t="s">
        <v>314</v>
      </c>
      <c r="AK2" s="71">
        <v>2014</v>
      </c>
      <c r="AL2" s="71" t="s">
        <v>12</v>
      </c>
      <c r="AM2" s="71" t="s">
        <v>26</v>
      </c>
      <c r="AN2" s="71" t="s">
        <v>88</v>
      </c>
      <c r="AO2" s="70" t="s">
        <v>314</v>
      </c>
      <c r="AQ2" s="71">
        <v>2014</v>
      </c>
      <c r="AR2" s="71" t="s">
        <v>12</v>
      </c>
      <c r="AS2" s="71" t="s">
        <v>26</v>
      </c>
      <c r="AT2" s="71" t="s">
        <v>88</v>
      </c>
      <c r="AU2" s="70" t="s">
        <v>314</v>
      </c>
      <c r="AW2" s="71">
        <v>2014</v>
      </c>
      <c r="AX2" s="71" t="s">
        <v>12</v>
      </c>
      <c r="AY2" s="71" t="s">
        <v>26</v>
      </c>
      <c r="AZ2" s="71" t="s">
        <v>88</v>
      </c>
      <c r="BA2" s="70" t="s">
        <v>314</v>
      </c>
      <c r="BC2" s="71">
        <v>2014</v>
      </c>
      <c r="BD2" s="71" t="s">
        <v>12</v>
      </c>
      <c r="BE2" s="71" t="s">
        <v>26</v>
      </c>
      <c r="BF2" s="71" t="s">
        <v>88</v>
      </c>
      <c r="BG2" s="70" t="s">
        <v>314</v>
      </c>
      <c r="BI2" s="71">
        <v>2014</v>
      </c>
      <c r="BJ2" s="71" t="s">
        <v>12</v>
      </c>
      <c r="BK2" s="71" t="s">
        <v>26</v>
      </c>
      <c r="BL2" s="71" t="s">
        <v>88</v>
      </c>
      <c r="BN2" s="71">
        <v>2014</v>
      </c>
      <c r="BO2" s="71" t="s">
        <v>12</v>
      </c>
      <c r="BP2" s="71" t="s">
        <v>26</v>
      </c>
      <c r="BQ2" s="71" t="s">
        <v>88</v>
      </c>
      <c r="BS2" s="71">
        <v>2014</v>
      </c>
      <c r="BT2" s="71" t="s">
        <v>12</v>
      </c>
      <c r="BU2" s="71" t="s">
        <v>26</v>
      </c>
      <c r="BV2" s="71" t="s">
        <v>88</v>
      </c>
      <c r="BX2" s="71">
        <v>2014</v>
      </c>
      <c r="BY2" s="71" t="s">
        <v>12</v>
      </c>
      <c r="BZ2" s="71" t="s">
        <v>26</v>
      </c>
      <c r="CA2" s="71" t="s">
        <v>88</v>
      </c>
      <c r="CC2" s="71">
        <v>2014</v>
      </c>
      <c r="CD2" s="71" t="s">
        <v>12</v>
      </c>
      <c r="CE2" s="71" t="s">
        <v>26</v>
      </c>
      <c r="CF2" s="71" t="s">
        <v>88</v>
      </c>
    </row>
    <row r="4" spans="1:86" s="83" customFormat="1">
      <c r="A4" s="80" t="s">
        <v>24</v>
      </c>
      <c r="B4" s="81"/>
      <c r="C4" s="82"/>
      <c r="E4" s="84"/>
      <c r="F4" s="85">
        <f>+AVERAGE(F5:F8)</f>
        <v>43917</v>
      </c>
      <c r="G4" s="85">
        <f>+AVERAGE(G5:G8)</f>
        <v>43670.5</v>
      </c>
      <c r="H4" s="85">
        <f>+AVERAGE(H5:H8)</f>
        <v>43148</v>
      </c>
      <c r="I4" s="85">
        <f>+AVERAGE(I5:I8)</f>
        <v>42882.5</v>
      </c>
      <c r="J4" s="85"/>
      <c r="K4" s="84"/>
      <c r="L4" s="85"/>
      <c r="M4" s="85">
        <f>+AVERAGE(M5:M8)</f>
        <v>980.41980066666656</v>
      </c>
      <c r="N4" s="85">
        <f>+AVERAGE(N5:N8)</f>
        <v>1160.6198006666666</v>
      </c>
      <c r="O4" s="85">
        <f>+AVERAGE(O5:O8)</f>
        <v>1293.9198006666666</v>
      </c>
      <c r="P4" s="85">
        <f>+AVERAGE(P5:P8)</f>
        <v>1417.7864673333333</v>
      </c>
      <c r="Q4" s="85"/>
      <c r="R4" s="84"/>
      <c r="S4" s="85">
        <f>+AVERAGE(S5:S8)</f>
        <v>-3476</v>
      </c>
      <c r="T4" s="85">
        <f>+AVERAGE(T5:T8)</f>
        <v>-1722.75</v>
      </c>
      <c r="U4" s="85">
        <f>+AVERAGE(U5:U8)</f>
        <v>487.75</v>
      </c>
      <c r="V4" s="85">
        <f>+AVERAGE(V5:V8)</f>
        <v>1846</v>
      </c>
      <c r="W4" s="85"/>
      <c r="X4" s="84"/>
      <c r="Y4" s="85"/>
      <c r="Z4" s="85"/>
      <c r="AA4" s="85"/>
      <c r="AB4" s="85"/>
      <c r="AC4" s="85"/>
      <c r="AD4" s="84"/>
      <c r="AE4" s="85">
        <f>+AVERAGE(AE5:AE8)</f>
        <v>1194.75</v>
      </c>
      <c r="AF4" s="85">
        <f>+AVERAGE(AF5:AF8)</f>
        <v>1816.75</v>
      </c>
      <c r="AG4" s="85">
        <f>+AVERAGE(AG5:AG8)</f>
        <v>2465.75</v>
      </c>
      <c r="AH4" s="85">
        <f>+AVERAGE(AH5:AH8)</f>
        <v>3094</v>
      </c>
      <c r="AI4" s="85"/>
      <c r="AJ4" s="84"/>
      <c r="AK4" s="85">
        <f>+AVERAGE(AK5:AK8)</f>
        <v>1057.75</v>
      </c>
      <c r="AL4" s="85">
        <f>+AVERAGE(AL5:AL8)</f>
        <v>1460.25</v>
      </c>
      <c r="AM4" s="85">
        <f>+AVERAGE(AM5:AM8)</f>
        <v>2066.25</v>
      </c>
      <c r="AN4" s="85">
        <f>+AVERAGE(AN5:AN8)</f>
        <v>2664.25</v>
      </c>
      <c r="AO4" s="85"/>
      <c r="AP4" s="84"/>
      <c r="AQ4" s="85">
        <f>+AVERAGE(AQ5:AQ8)</f>
        <v>1341.5</v>
      </c>
      <c r="AR4" s="85">
        <f>+AVERAGE(AR5:AR8)</f>
        <v>1690.5</v>
      </c>
      <c r="AS4" s="85">
        <f>+AVERAGE(AS5:AS8)</f>
        <v>2188.75</v>
      </c>
      <c r="AT4" s="85">
        <f>+AVERAGE(AT5:AT8)</f>
        <v>2689.75</v>
      </c>
      <c r="AU4" s="85"/>
      <c r="AV4" s="84"/>
      <c r="AW4" s="85">
        <f>+AVERAGE(AW5:AW8)</f>
        <v>1434</v>
      </c>
      <c r="AX4" s="85">
        <f>+AVERAGE(AX5:AX8)</f>
        <v>1897</v>
      </c>
      <c r="AY4" s="85">
        <f>+AVERAGE(AY5:AY8)</f>
        <v>2309</v>
      </c>
      <c r="AZ4" s="85">
        <f>+AVERAGE(AZ5:AZ8)</f>
        <v>2984</v>
      </c>
      <c r="BA4" s="85"/>
      <c r="BB4" s="84"/>
      <c r="BC4" s="85">
        <f>+AVERAGE(BC5:BC8)</f>
        <v>1145.5</v>
      </c>
      <c r="BD4" s="85">
        <f>+AVERAGE(BD5:BD8)</f>
        <v>1940.6666666666667</v>
      </c>
      <c r="BE4" s="85">
        <f>+AVERAGE(BE5:BE8)</f>
        <v>2320</v>
      </c>
      <c r="BF4" s="85">
        <f>+AVERAGE(BF5:BF8)</f>
        <v>2723</v>
      </c>
      <c r="BG4" s="85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</row>
    <row r="5" spans="1:86">
      <c r="B5" s="72" t="s">
        <v>81</v>
      </c>
      <c r="C5" s="73">
        <v>42212</v>
      </c>
      <c r="E5" s="75"/>
      <c r="F5" s="76">
        <v>43917</v>
      </c>
      <c r="G5" s="76">
        <v>42222</v>
      </c>
      <c r="H5" s="76">
        <v>40029</v>
      </c>
      <c r="I5" s="76">
        <v>39262</v>
      </c>
      <c r="J5" s="76"/>
      <c r="K5" s="75"/>
      <c r="L5" s="76" t="s">
        <v>90</v>
      </c>
      <c r="M5" s="76">
        <v>814</v>
      </c>
      <c r="N5" s="76">
        <v>1164</v>
      </c>
      <c r="O5" s="76">
        <v>1214</v>
      </c>
      <c r="P5" s="76">
        <v>1456</v>
      </c>
      <c r="Q5" s="76"/>
      <c r="R5" s="75"/>
      <c r="S5" s="76">
        <v>-3486</v>
      </c>
      <c r="T5" s="76">
        <v>-1089</v>
      </c>
      <c r="U5" s="76">
        <v>1618</v>
      </c>
      <c r="V5" s="76">
        <v>2553</v>
      </c>
      <c r="W5" s="76"/>
      <c r="X5" s="75"/>
      <c r="Y5" s="76"/>
      <c r="Z5" s="76"/>
      <c r="AA5" s="76"/>
      <c r="AB5" s="76"/>
      <c r="AC5" s="76"/>
      <c r="AD5" s="75"/>
      <c r="AE5" s="76">
        <v>1063</v>
      </c>
      <c r="AF5" s="76">
        <v>1864</v>
      </c>
      <c r="AG5" s="76">
        <v>2713</v>
      </c>
      <c r="AH5" s="76">
        <v>3627</v>
      </c>
      <c r="AI5" s="76"/>
      <c r="AJ5" s="75"/>
      <c r="AK5" s="76">
        <v>1057</v>
      </c>
      <c r="AL5" s="76">
        <v>1459</v>
      </c>
      <c r="AM5" s="76">
        <v>2270</v>
      </c>
      <c r="AN5" s="76">
        <v>3274</v>
      </c>
      <c r="AO5" s="76"/>
      <c r="AP5" s="75"/>
      <c r="AQ5" s="76">
        <v>1608</v>
      </c>
      <c r="AR5" s="76">
        <v>2090</v>
      </c>
      <c r="AS5" s="76">
        <v>2713</v>
      </c>
      <c r="AT5" s="76">
        <v>3628</v>
      </c>
      <c r="AU5" s="76"/>
      <c r="AV5" s="75"/>
      <c r="BB5" s="75"/>
      <c r="BC5" s="76">
        <v>842</v>
      </c>
      <c r="BD5" s="76">
        <v>1646</v>
      </c>
      <c r="BE5" s="76">
        <v>2464</v>
      </c>
      <c r="BF5" s="76">
        <v>3295</v>
      </c>
      <c r="BG5" s="76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</row>
    <row r="6" spans="1:86">
      <c r="B6" s="72" t="s">
        <v>79</v>
      </c>
      <c r="C6" s="73">
        <v>42138</v>
      </c>
      <c r="E6" s="75"/>
      <c r="F6" s="76">
        <v>43917</v>
      </c>
      <c r="G6" s="76">
        <v>44105</v>
      </c>
      <c r="H6" s="76">
        <v>44251</v>
      </c>
      <c r="I6" s="76">
        <v>44302</v>
      </c>
      <c r="J6" s="76"/>
      <c r="K6" s="75"/>
      <c r="L6" s="76">
        <v>1456</v>
      </c>
      <c r="M6" s="76"/>
      <c r="N6" s="76"/>
      <c r="O6" s="76"/>
      <c r="P6" s="76"/>
      <c r="Q6" s="76"/>
      <c r="R6" s="75"/>
      <c r="S6" s="76">
        <f>-3402-84</f>
        <v>-3486</v>
      </c>
      <c r="T6" s="76">
        <f>-3652-119+2000</f>
        <v>-1771</v>
      </c>
      <c r="U6" s="76">
        <f>-4440-164+5000</f>
        <v>396</v>
      </c>
      <c r="V6" s="76">
        <f>-4289-185+6600</f>
        <v>2126</v>
      </c>
      <c r="W6" s="76"/>
      <c r="X6" s="75"/>
      <c r="Y6" s="76"/>
      <c r="Z6" s="76"/>
      <c r="AA6" s="76"/>
      <c r="AB6" s="76"/>
      <c r="AC6" s="76"/>
      <c r="AD6" s="75"/>
      <c r="AE6" s="76">
        <v>1246</v>
      </c>
      <c r="AF6" s="76">
        <v>1752</v>
      </c>
      <c r="AG6" s="76">
        <v>2508</v>
      </c>
      <c r="AH6" s="76">
        <v>2824</v>
      </c>
      <c r="AI6" s="76"/>
      <c r="AJ6" s="75"/>
      <c r="AK6" s="76">
        <v>1058</v>
      </c>
      <c r="AL6" s="76">
        <v>1427</v>
      </c>
      <c r="AM6" s="76">
        <v>2145</v>
      </c>
      <c r="AN6" s="76">
        <v>2402</v>
      </c>
      <c r="AO6" s="76"/>
      <c r="AP6" s="75"/>
      <c r="AQ6" s="76">
        <v>1257</v>
      </c>
      <c r="AR6" s="76">
        <v>1531</v>
      </c>
      <c r="AS6" s="76">
        <v>2138</v>
      </c>
      <c r="AT6" s="76">
        <v>2240</v>
      </c>
      <c r="AU6" s="76"/>
      <c r="AV6" s="75"/>
      <c r="BB6" s="75"/>
      <c r="BC6" s="76"/>
      <c r="BD6" s="76">
        <v>1884</v>
      </c>
      <c r="BE6" s="76">
        <v>2278</v>
      </c>
      <c r="BF6" s="76">
        <v>2490</v>
      </c>
      <c r="BG6" s="76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8">
        <v>1</v>
      </c>
      <c r="BY6" s="78">
        <v>1.29</v>
      </c>
      <c r="BZ6" s="78">
        <v>1.56</v>
      </c>
      <c r="CA6" s="78">
        <v>1.71</v>
      </c>
      <c r="CB6" s="75"/>
      <c r="CC6" s="75"/>
      <c r="CD6" s="75"/>
      <c r="CE6" s="75"/>
      <c r="CF6" s="75"/>
      <c r="CG6" s="75"/>
      <c r="CH6" s="75"/>
    </row>
    <row r="7" spans="1:86">
      <c r="B7" s="72" t="s">
        <v>80</v>
      </c>
      <c r="C7" s="73">
        <v>42116</v>
      </c>
      <c r="E7" s="75"/>
      <c r="F7" s="76">
        <v>43917</v>
      </c>
      <c r="G7" s="76">
        <v>44197</v>
      </c>
      <c r="H7" s="76">
        <v>44475</v>
      </c>
      <c r="I7" s="76">
        <v>44475</v>
      </c>
      <c r="J7" s="76"/>
      <c r="K7" s="75"/>
      <c r="L7" s="76">
        <v>1313.0594020000001</v>
      </c>
      <c r="M7" s="76">
        <v>1313.0594020000001</v>
      </c>
      <c r="N7" s="76">
        <v>1313.0594020000001</v>
      </c>
      <c r="O7" s="76">
        <v>1313.0594020000001</v>
      </c>
      <c r="P7" s="76">
        <v>1313.0594020000001</v>
      </c>
      <c r="Q7" s="76"/>
      <c r="R7" s="75"/>
      <c r="S7" s="76">
        <v>-3446</v>
      </c>
      <c r="T7" s="76">
        <v>-1761</v>
      </c>
      <c r="U7" s="76">
        <v>-1583</v>
      </c>
      <c r="V7" s="76">
        <v>-1848</v>
      </c>
      <c r="W7" s="76"/>
      <c r="X7" s="75"/>
      <c r="Y7" s="76"/>
      <c r="Z7" s="76"/>
      <c r="AA7" s="76"/>
      <c r="AB7" s="76"/>
      <c r="AC7" s="76"/>
      <c r="AD7" s="75"/>
      <c r="AE7" s="76">
        <v>1232</v>
      </c>
      <c r="AF7" s="76">
        <v>1993</v>
      </c>
      <c r="AG7" s="76">
        <v>2368</v>
      </c>
      <c r="AH7" s="76">
        <v>2813</v>
      </c>
      <c r="AI7" s="76"/>
      <c r="AJ7" s="75"/>
      <c r="AK7" s="76">
        <v>1058</v>
      </c>
      <c r="AL7" s="76">
        <v>1650</v>
      </c>
      <c r="AM7" s="76">
        <v>1989</v>
      </c>
      <c r="AN7" s="76">
        <v>2407</v>
      </c>
      <c r="AO7" s="76"/>
      <c r="AP7" s="75"/>
      <c r="AQ7" s="76">
        <v>1251</v>
      </c>
      <c r="AR7" s="76">
        <v>1743</v>
      </c>
      <c r="AS7" s="76">
        <v>2051</v>
      </c>
      <c r="AT7" s="76">
        <v>2462</v>
      </c>
      <c r="AU7" s="76"/>
      <c r="AV7" s="75"/>
      <c r="AW7" s="76">
        <v>1238</v>
      </c>
      <c r="AX7" s="76">
        <v>1717</v>
      </c>
      <c r="AY7" s="76">
        <v>2020</v>
      </c>
      <c r="AZ7" s="76">
        <v>2462</v>
      </c>
      <c r="BA7" s="76"/>
      <c r="BB7" s="75"/>
      <c r="BC7" s="76">
        <v>1449</v>
      </c>
      <c r="BD7" s="76">
        <v>2292</v>
      </c>
      <c r="BE7" s="76">
        <v>2218</v>
      </c>
      <c r="BF7" s="76">
        <v>2384</v>
      </c>
      <c r="BG7" s="76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</row>
    <row r="8" spans="1:86">
      <c r="B8" s="72" t="s">
        <v>85</v>
      </c>
      <c r="C8" s="73">
        <v>42230</v>
      </c>
      <c r="E8" s="75"/>
      <c r="F8" s="76">
        <v>43917</v>
      </c>
      <c r="G8" s="76">
        <v>44158</v>
      </c>
      <c r="H8" s="76">
        <v>43837</v>
      </c>
      <c r="I8" s="76">
        <v>43491</v>
      </c>
      <c r="J8" s="76"/>
      <c r="K8" s="75"/>
      <c r="L8" s="76"/>
      <c r="M8" s="76">
        <v>814.2</v>
      </c>
      <c r="N8" s="76">
        <v>1004.8</v>
      </c>
      <c r="O8" s="76">
        <v>1354.7</v>
      </c>
      <c r="P8" s="76">
        <v>1484.3</v>
      </c>
      <c r="Q8" s="76"/>
      <c r="R8" s="75"/>
      <c r="S8" s="76">
        <v>-3486</v>
      </c>
      <c r="T8" s="76">
        <v>-2270</v>
      </c>
      <c r="U8" s="76">
        <v>1520</v>
      </c>
      <c r="V8" s="76">
        <v>4553</v>
      </c>
      <c r="W8" s="76"/>
      <c r="X8" s="75"/>
      <c r="Y8" s="76"/>
      <c r="Z8" s="76"/>
      <c r="AA8" s="76"/>
      <c r="AB8" s="76"/>
      <c r="AC8" s="76"/>
      <c r="AD8" s="75"/>
      <c r="AE8" s="76">
        <v>1238</v>
      </c>
      <c r="AF8" s="76">
        <v>1658</v>
      </c>
      <c r="AG8" s="76">
        <v>2274</v>
      </c>
      <c r="AH8" s="76">
        <v>3112</v>
      </c>
      <c r="AI8" s="76"/>
      <c r="AJ8" s="75"/>
      <c r="AK8" s="76">
        <v>1058</v>
      </c>
      <c r="AL8" s="76">
        <v>1305</v>
      </c>
      <c r="AM8" s="76">
        <v>1861</v>
      </c>
      <c r="AN8" s="76">
        <v>2574</v>
      </c>
      <c r="AO8" s="76"/>
      <c r="AP8" s="75"/>
      <c r="AQ8" s="76">
        <v>1250</v>
      </c>
      <c r="AR8" s="76">
        <v>1398</v>
      </c>
      <c r="AS8" s="76">
        <v>1853</v>
      </c>
      <c r="AT8" s="76">
        <v>2429</v>
      </c>
      <c r="AU8" s="76"/>
      <c r="AV8" s="75"/>
      <c r="AW8" s="76">
        <v>1630</v>
      </c>
      <c r="AX8" s="76">
        <v>2077</v>
      </c>
      <c r="AY8" s="76">
        <v>2598</v>
      </c>
      <c r="AZ8" s="76">
        <v>3506</v>
      </c>
      <c r="BA8" s="76"/>
      <c r="BB8" s="75"/>
      <c r="BC8" s="76"/>
      <c r="BD8" s="76"/>
      <c r="BE8" s="76"/>
      <c r="BF8" s="76"/>
      <c r="BG8" s="76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8">
        <v>1.78</v>
      </c>
      <c r="BY8" s="78">
        <v>1.88</v>
      </c>
      <c r="BZ8" s="78">
        <v>1.79</v>
      </c>
      <c r="CA8" s="78">
        <v>2.13</v>
      </c>
      <c r="CB8" s="75"/>
      <c r="CC8" s="75"/>
      <c r="CD8" s="75"/>
      <c r="CE8" s="75"/>
      <c r="CF8" s="75"/>
      <c r="CG8" s="75"/>
      <c r="CH8" s="75"/>
    </row>
    <row r="9" spans="1:86">
      <c r="B9" s="74" t="s">
        <v>86</v>
      </c>
      <c r="E9" s="75"/>
      <c r="F9" s="75"/>
      <c r="G9" s="75"/>
      <c r="H9" s="75"/>
      <c r="I9" s="75"/>
      <c r="J9" s="75"/>
      <c r="K9" s="75"/>
      <c r="L9" s="75"/>
      <c r="M9" s="76"/>
      <c r="N9" s="76"/>
      <c r="O9" s="76"/>
      <c r="P9" s="76"/>
      <c r="Q9" s="76"/>
      <c r="R9" s="75"/>
      <c r="S9" s="76"/>
      <c r="T9" s="76"/>
      <c r="U9" s="76"/>
      <c r="V9" s="76"/>
      <c r="W9" s="76"/>
      <c r="X9" s="75"/>
      <c r="Y9" s="76"/>
      <c r="Z9" s="76"/>
      <c r="AA9" s="76"/>
      <c r="AB9" s="76"/>
      <c r="AC9" s="76"/>
      <c r="AD9" s="75"/>
      <c r="AE9" s="76"/>
      <c r="AF9" s="76"/>
      <c r="AG9" s="76"/>
      <c r="AH9" s="76"/>
      <c r="AI9" s="76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76"/>
      <c r="AY9" s="76"/>
      <c r="AZ9" s="76"/>
      <c r="BA9" s="76"/>
      <c r="BB9" s="75"/>
      <c r="BC9" s="76"/>
      <c r="BD9" s="76"/>
      <c r="BE9" s="76"/>
      <c r="BF9" s="76"/>
      <c r="BG9" s="76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</row>
    <row r="10" spans="1:86">
      <c r="B10" s="72" t="s">
        <v>83</v>
      </c>
      <c r="E10" s="75"/>
      <c r="F10" s="75"/>
      <c r="G10" s="75"/>
      <c r="H10" s="75"/>
      <c r="I10" s="75"/>
      <c r="J10" s="75"/>
      <c r="K10" s="75"/>
      <c r="L10" s="75"/>
      <c r="M10" s="76"/>
      <c r="N10" s="76"/>
      <c r="O10" s="76"/>
      <c r="P10" s="76"/>
      <c r="Q10" s="76"/>
      <c r="R10" s="75"/>
      <c r="S10" s="76"/>
      <c r="T10" s="76"/>
      <c r="U10" s="76"/>
      <c r="V10" s="76"/>
      <c r="W10" s="76"/>
      <c r="X10" s="75"/>
      <c r="Y10" s="76"/>
      <c r="Z10" s="76"/>
      <c r="AA10" s="76"/>
      <c r="AB10" s="76"/>
      <c r="AC10" s="76"/>
      <c r="AD10" s="75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75"/>
      <c r="AY10" s="75"/>
      <c r="AZ10" s="75"/>
      <c r="BA10" s="75"/>
      <c r="BB10" s="75"/>
      <c r="BC10" s="76"/>
      <c r="BD10" s="76"/>
      <c r="BE10" s="76"/>
      <c r="BF10" s="76"/>
      <c r="BG10" s="76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</row>
    <row r="11" spans="1:86">
      <c r="B11" s="72" t="s">
        <v>84</v>
      </c>
      <c r="E11" s="75"/>
      <c r="F11" s="75"/>
      <c r="G11" s="75"/>
      <c r="H11" s="75"/>
      <c r="I11" s="75"/>
      <c r="J11" s="75"/>
      <c r="K11" s="75"/>
      <c r="L11" s="75"/>
      <c r="M11" s="76"/>
      <c r="N11" s="76"/>
      <c r="O11" s="76"/>
      <c r="P11" s="76"/>
      <c r="Q11" s="76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6"/>
      <c r="AX11" s="75"/>
      <c r="AY11" s="75"/>
      <c r="AZ11" s="75"/>
      <c r="BA11" s="75"/>
      <c r="BB11" s="75"/>
      <c r="BC11" s="76"/>
      <c r="BD11" s="76"/>
      <c r="BE11" s="76"/>
      <c r="BF11" s="76"/>
      <c r="BG11" s="76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</row>
    <row r="12" spans="1:86">
      <c r="L12" s="76"/>
    </row>
    <row r="13" spans="1:86">
      <c r="A13" s="59" t="s">
        <v>100</v>
      </c>
      <c r="E13" s="76"/>
      <c r="F13" s="85">
        <f>+AVERAGE(F14,F15,F14)</f>
        <v>15155.666666666666</v>
      </c>
      <c r="G13" s="85">
        <f>+AVERAGE(G14,G15,G14)</f>
        <v>20729</v>
      </c>
      <c r="H13" s="85">
        <f>+AVERAGE(H14,H15,H14)</f>
        <v>23492.333333333332</v>
      </c>
      <c r="I13" s="85">
        <f>+AVERAGE(I14,I15,I14)</f>
        <v>26640</v>
      </c>
      <c r="J13" s="85"/>
      <c r="L13" s="76">
        <v>634.47974599999998</v>
      </c>
      <c r="M13" s="85">
        <f>+AVERAGE(M14,M15,M14)</f>
        <v>1553.1929829999999</v>
      </c>
      <c r="N13" s="85">
        <f>+AVERAGE(N14,N15,N14)</f>
        <v>1553.1929829999999</v>
      </c>
      <c r="O13" s="85">
        <f>+AVERAGE(O14,O15,O14)</f>
        <v>1553.1929829999999</v>
      </c>
      <c r="P13" s="85">
        <f>+AVERAGE(P14,P15,P14)</f>
        <v>1553.1929829999999</v>
      </c>
      <c r="Q13" s="85"/>
      <c r="S13" s="85">
        <f>+AVERAGE(S14,S15,S14)</f>
        <v>15699.333333333334</v>
      </c>
      <c r="T13" s="85">
        <f>+AVERAGE(T14,T15,T14)</f>
        <v>16098.666666666666</v>
      </c>
      <c r="U13" s="85">
        <f>+AVERAGE(U14,U15,U14)</f>
        <v>24960.666666666668</v>
      </c>
      <c r="V13" s="85">
        <f>+AVERAGE(V14,V15,V14)</f>
        <v>27840.333333333332</v>
      </c>
      <c r="W13" s="85"/>
      <c r="AE13" s="85">
        <f>+AVERAGE(AE14,AE15,AE14)</f>
        <v>1886.3333333333333</v>
      </c>
      <c r="AF13" s="85">
        <f>+AVERAGE(AF14,AF15,AF14)</f>
        <v>2230.3333333333335</v>
      </c>
      <c r="AG13" s="85">
        <f>+AVERAGE(AG14,AG15,AG14)</f>
        <v>2618</v>
      </c>
      <c r="AH13" s="85">
        <f>+AVERAGE(AH14,AH15,AH14)</f>
        <v>4460.666666666667</v>
      </c>
      <c r="AI13" s="85"/>
      <c r="AK13" s="85">
        <f>+AVERAGE(AK14,AK15,AK14)</f>
        <v>1933.3333333333333</v>
      </c>
      <c r="AL13" s="85">
        <f>+AVERAGE(AL14,AL15,AL14)</f>
        <v>2276.6666666666665</v>
      </c>
      <c r="AM13" s="85">
        <f>+AVERAGE(AM14,AM15,AM14)</f>
        <v>2564</v>
      </c>
      <c r="AN13" s="85">
        <f>+AVERAGE(AN14,AN15,AN14)</f>
        <v>4280.666666666667</v>
      </c>
      <c r="AO13" s="85"/>
      <c r="AQ13" s="85"/>
      <c r="AR13" s="85">
        <f>+AVERAGE(AR14,AR15,AR14)</f>
        <v>511</v>
      </c>
      <c r="AS13" s="85">
        <f>+AVERAGE(AS14,AS15,AS14)</f>
        <v>557</v>
      </c>
      <c r="AT13" s="85">
        <f>+AVERAGE(AT14,AT15,AT14)</f>
        <v>1194.3333333333333</v>
      </c>
      <c r="AU13" s="85"/>
      <c r="AW13" s="85"/>
      <c r="AX13" s="85"/>
      <c r="AY13" s="85"/>
      <c r="AZ13" s="85"/>
      <c r="BA13" s="85"/>
      <c r="BC13" s="85">
        <f>+AVERAGE(BC14,BC15,BC14)</f>
        <v>0</v>
      </c>
      <c r="BD13" s="85">
        <f>+AVERAGE(BD14,BD15,BD14)</f>
        <v>0</v>
      </c>
      <c r="BE13" s="85">
        <f>+AVERAGE(BE14,BE15,BE14)</f>
        <v>0</v>
      </c>
      <c r="BF13" s="85">
        <f>+AVERAGE(BF14,BF15,BF14)</f>
        <v>0</v>
      </c>
      <c r="BG13" s="85"/>
      <c r="BI13" s="312">
        <f>+AVERAGE(BI14,BI15,BI14)</f>
        <v>1.2447476614265218</v>
      </c>
      <c r="BJ13" s="312">
        <f>+AVERAGE(BJ14,BJ15,BJ14)</f>
        <v>1.4657976771626109</v>
      </c>
      <c r="BK13" s="312">
        <f>+AVERAGE(BK14,BK15,BK14)</f>
        <v>1.6507929330504838</v>
      </c>
      <c r="BL13" s="312">
        <f>+AVERAGE(BL14,BL15,BL14)</f>
        <v>2.7560430117309305</v>
      </c>
      <c r="BN13" s="312">
        <f>+AVERAGE(BN14,BN15,BN14)</f>
        <v>0</v>
      </c>
      <c r="BO13" s="312">
        <f>+AVERAGE(BO14,BO15,BO14)</f>
        <v>0.3289996836149755</v>
      </c>
      <c r="BP13" s="312">
        <f>+AVERAGE(BP14,BP15,BP14)</f>
        <v>0.35861609349029622</v>
      </c>
      <c r="BQ13" s="312">
        <f>+AVERAGE(BQ14,BQ15,BQ14)</f>
        <v>0.76895359842952204</v>
      </c>
      <c r="BS13" s="312">
        <f>+AVERAGE(BS14,BS15,BS14)</f>
        <v>0</v>
      </c>
      <c r="BT13" s="312">
        <f>+AVERAGE(BT14,BT15,BT14)</f>
        <v>0</v>
      </c>
      <c r="BU13" s="312">
        <f>+AVERAGE(BU14,BU15,BU14)</f>
        <v>0</v>
      </c>
      <c r="BV13" s="312">
        <f>+AVERAGE(BV14,BV15,BV14)</f>
        <v>0</v>
      </c>
      <c r="BX13" s="312">
        <f>+AVERAGE(BX14,BX15,BX14)</f>
        <v>0</v>
      </c>
      <c r="BY13" s="312">
        <f>+AVERAGE(BY14,BY15,BY14)</f>
        <v>0</v>
      </c>
      <c r="BZ13" s="312">
        <f>+AVERAGE(BZ14,BZ15,BZ14)</f>
        <v>0</v>
      </c>
      <c r="CA13" s="312">
        <f>+AVERAGE(CA14,CA15,CA14)</f>
        <v>0</v>
      </c>
      <c r="CC13" s="312">
        <f>+AVERAGE(CC14,CC15,CC14)</f>
        <v>9.7577486072551149</v>
      </c>
      <c r="CD13" s="312">
        <f>+AVERAGE(CD14,CD15,CD14)</f>
        <v>13.346055658815709</v>
      </c>
      <c r="CE13" s="312">
        <f>+AVERAGE(CE14,CE15,CE14)</f>
        <v>15.125186367992583</v>
      </c>
      <c r="CF13" s="312">
        <f>+AVERAGE(CF14,CF15,CF14)</f>
        <v>17.151764327794417</v>
      </c>
    </row>
    <row r="14" spans="1:86">
      <c r="B14" s="72" t="s">
        <v>79</v>
      </c>
      <c r="C14" s="73">
        <v>42199</v>
      </c>
      <c r="E14" s="76">
        <v>17743</v>
      </c>
      <c r="F14" s="76">
        <v>17024</v>
      </c>
      <c r="G14" s="76">
        <v>18459</v>
      </c>
      <c r="H14" s="76">
        <v>20996</v>
      </c>
      <c r="I14" s="76">
        <v>23952</v>
      </c>
      <c r="J14" s="76"/>
      <c r="K14" s="75"/>
      <c r="L14" s="76">
        <v>1553.1929829999999</v>
      </c>
      <c r="M14" s="76">
        <v>1553.1929829999999</v>
      </c>
      <c r="N14" s="76">
        <v>1553.1929829999999</v>
      </c>
      <c r="O14" s="76">
        <v>1553.1929829999999</v>
      </c>
      <c r="P14" s="76">
        <v>1553.1929829999999</v>
      </c>
      <c r="Q14" s="76"/>
      <c r="R14" s="75"/>
      <c r="S14" s="76">
        <f>8883+1811-458-477+6109</f>
        <v>15868</v>
      </c>
      <c r="T14" s="76">
        <f>11485+1711-88+4740</f>
        <v>17848</v>
      </c>
      <c r="U14" s="76">
        <f>18535+1711-105+6271</f>
        <v>26412</v>
      </c>
      <c r="V14" s="76">
        <f>17068+1711+7911-189</f>
        <v>26501</v>
      </c>
      <c r="W14" s="76"/>
      <c r="X14" s="75"/>
      <c r="Y14" s="76"/>
      <c r="Z14" s="76"/>
      <c r="AA14" s="76"/>
      <c r="AB14" s="76"/>
      <c r="AC14" s="76"/>
      <c r="AD14" s="75"/>
      <c r="AE14" s="76">
        <v>1855</v>
      </c>
      <c r="AF14" s="76">
        <v>2131</v>
      </c>
      <c r="AG14" s="76">
        <v>2660</v>
      </c>
      <c r="AH14" s="76">
        <v>4829</v>
      </c>
      <c r="AI14" s="76"/>
      <c r="AJ14" s="75"/>
      <c r="AK14" s="76">
        <v>1902</v>
      </c>
      <c r="AL14" s="76">
        <v>2140</v>
      </c>
      <c r="AM14" s="76">
        <v>2550</v>
      </c>
      <c r="AN14" s="76">
        <v>4538</v>
      </c>
      <c r="AO14" s="76"/>
      <c r="AP14" s="75"/>
      <c r="AQ14" s="76"/>
      <c r="AR14" s="76">
        <v>439</v>
      </c>
      <c r="AS14" s="76">
        <v>307</v>
      </c>
      <c r="AT14" s="76">
        <v>1066</v>
      </c>
      <c r="AU14" s="76"/>
      <c r="AV14" s="75"/>
      <c r="AW14" s="76"/>
      <c r="AX14" s="76"/>
      <c r="AY14" s="76"/>
      <c r="AZ14" s="76"/>
      <c r="BA14" s="76"/>
      <c r="BB14" s="75"/>
      <c r="BC14" s="76">
        <v>0</v>
      </c>
      <c r="BD14" s="76">
        <v>0</v>
      </c>
      <c r="BE14" s="76">
        <v>0</v>
      </c>
      <c r="BF14" s="76">
        <v>0</v>
      </c>
      <c r="BG14" s="76"/>
      <c r="BH14" s="75"/>
      <c r="BI14" s="86">
        <f t="shared" ref="BI14:BL15" si="0">+AK14/M14</f>
        <v>1.2245741648447817</v>
      </c>
      <c r="BJ14" s="86">
        <f t="shared" si="0"/>
        <v>1.3778068941997017</v>
      </c>
      <c r="BK14" s="86">
        <f t="shared" si="0"/>
        <v>1.6417792430884297</v>
      </c>
      <c r="BL14" s="86">
        <f t="shared" si="0"/>
        <v>2.9217232177001153</v>
      </c>
      <c r="BN14" s="86">
        <f t="shared" ref="BN14:BQ15" si="1">+AQ14/M14</f>
        <v>0</v>
      </c>
      <c r="BO14" s="86">
        <f t="shared" si="1"/>
        <v>0.28264356381012573</v>
      </c>
      <c r="BP14" s="86">
        <f t="shared" si="1"/>
        <v>0.19765734416790112</v>
      </c>
      <c r="BQ14" s="86">
        <f t="shared" si="1"/>
        <v>0.68632810711069259</v>
      </c>
      <c r="BS14" s="86">
        <f t="shared" ref="BS14:BV15" si="2">+AW14/M14</f>
        <v>0</v>
      </c>
      <c r="BT14" s="86">
        <f t="shared" si="2"/>
        <v>0</v>
      </c>
      <c r="BU14" s="86">
        <f t="shared" si="2"/>
        <v>0</v>
      </c>
      <c r="BV14" s="86">
        <f t="shared" si="2"/>
        <v>0</v>
      </c>
      <c r="BX14" s="86">
        <f t="shared" ref="BX14:CA15" si="3">+BC14/M14</f>
        <v>0</v>
      </c>
      <c r="BY14" s="86">
        <f t="shared" si="3"/>
        <v>0</v>
      </c>
      <c r="BZ14" s="86">
        <f t="shared" si="3"/>
        <v>0</v>
      </c>
      <c r="CA14" s="86">
        <f t="shared" si="3"/>
        <v>0</v>
      </c>
      <c r="CC14" s="86">
        <f t="shared" ref="CC14:CF15" si="4">+F14/M14</f>
        <v>10.960646993857814</v>
      </c>
      <c r="CD14" s="86">
        <f t="shared" si="4"/>
        <v>11.884550214968362</v>
      </c>
      <c r="CE14" s="86">
        <f t="shared" si="4"/>
        <v>13.517959603092027</v>
      </c>
      <c r="CF14" s="86">
        <f t="shared" si="4"/>
        <v>15.421135855080026</v>
      </c>
      <c r="CG14" s="75"/>
      <c r="CH14" s="75"/>
    </row>
    <row r="15" spans="1:86">
      <c r="B15" s="72" t="s">
        <v>80</v>
      </c>
      <c r="C15" s="73">
        <v>42321</v>
      </c>
      <c r="F15" s="76">
        <v>11419</v>
      </c>
      <c r="G15" s="76">
        <v>25269</v>
      </c>
      <c r="H15" s="76">
        <v>28485</v>
      </c>
      <c r="I15" s="76">
        <v>32016</v>
      </c>
      <c r="J15" s="76"/>
      <c r="M15" s="76">
        <v>1553.1929829999999</v>
      </c>
      <c r="N15" s="76">
        <v>1553.1929829999999</v>
      </c>
      <c r="O15" s="76">
        <v>1553.1929829999999</v>
      </c>
      <c r="P15" s="76">
        <v>1553.1929829999999</v>
      </c>
      <c r="Q15" s="76"/>
      <c r="S15" s="76">
        <f>9253+6109</f>
        <v>15362</v>
      </c>
      <c r="T15" s="76">
        <f>6527+6073</f>
        <v>12600</v>
      </c>
      <c r="U15" s="76">
        <f>13810+8248</f>
        <v>22058</v>
      </c>
      <c r="V15" s="76">
        <f>20174+10345</f>
        <v>30519</v>
      </c>
      <c r="W15" s="76"/>
      <c r="AE15" s="76">
        <v>1949</v>
      </c>
      <c r="AF15" s="76">
        <v>2429</v>
      </c>
      <c r="AG15" s="76">
        <v>2534</v>
      </c>
      <c r="AH15" s="76">
        <v>3724</v>
      </c>
      <c r="AI15" s="76"/>
      <c r="AK15" s="76">
        <v>1996</v>
      </c>
      <c r="AL15" s="76">
        <v>2550</v>
      </c>
      <c r="AM15" s="76">
        <v>2592</v>
      </c>
      <c r="AN15" s="76">
        <v>3766</v>
      </c>
      <c r="AO15" s="76"/>
      <c r="AR15" s="76">
        <v>655</v>
      </c>
      <c r="AS15" s="76">
        <v>1057</v>
      </c>
      <c r="AT15" s="76">
        <v>1451</v>
      </c>
      <c r="AU15" s="76"/>
      <c r="BC15" s="76">
        <v>0</v>
      </c>
      <c r="BD15" s="76">
        <v>0</v>
      </c>
      <c r="BE15" s="76">
        <v>0</v>
      </c>
      <c r="BF15" s="76">
        <v>0</v>
      </c>
      <c r="BG15" s="76"/>
      <c r="BI15" s="86">
        <f t="shared" si="0"/>
        <v>1.2850946545900022</v>
      </c>
      <c r="BJ15" s="86">
        <f t="shared" si="0"/>
        <v>1.6417792430884297</v>
      </c>
      <c r="BK15" s="86">
        <f t="shared" si="0"/>
        <v>1.668820312974592</v>
      </c>
      <c r="BL15" s="86">
        <f t="shared" si="0"/>
        <v>2.4246825997925594</v>
      </c>
      <c r="BN15" s="86">
        <f t="shared" si="1"/>
        <v>0</v>
      </c>
      <c r="BO15" s="86">
        <f t="shared" si="1"/>
        <v>0.42171192322467504</v>
      </c>
      <c r="BP15" s="86">
        <f t="shared" si="1"/>
        <v>0.68053359213508635</v>
      </c>
      <c r="BQ15" s="86">
        <f t="shared" si="1"/>
        <v>0.93420458106718096</v>
      </c>
      <c r="BS15" s="86">
        <f t="shared" si="2"/>
        <v>0</v>
      </c>
      <c r="BT15" s="86">
        <f t="shared" si="2"/>
        <v>0</v>
      </c>
      <c r="BU15" s="86">
        <f t="shared" si="2"/>
        <v>0</v>
      </c>
      <c r="BV15" s="86">
        <f t="shared" si="2"/>
        <v>0</v>
      </c>
      <c r="BX15" s="86">
        <f t="shared" si="3"/>
        <v>0</v>
      </c>
      <c r="BY15" s="86">
        <f t="shared" si="3"/>
        <v>0</v>
      </c>
      <c r="BZ15" s="86">
        <f t="shared" si="3"/>
        <v>0</v>
      </c>
      <c r="CA15" s="86">
        <f t="shared" si="3"/>
        <v>0</v>
      </c>
      <c r="CC15" s="86">
        <f t="shared" si="4"/>
        <v>7.351951834049717</v>
      </c>
      <c r="CD15" s="86">
        <f t="shared" si="4"/>
        <v>16.269066546510402</v>
      </c>
      <c r="CE15" s="86">
        <f t="shared" si="4"/>
        <v>18.339639897793692</v>
      </c>
      <c r="CF15" s="86">
        <f t="shared" si="4"/>
        <v>20.6130212732232</v>
      </c>
    </row>
    <row r="18" spans="1:86">
      <c r="A18" s="59" t="s">
        <v>25</v>
      </c>
      <c r="E18" s="76">
        <v>16082</v>
      </c>
      <c r="F18" s="85">
        <f>+AVERAGE(F19:F20)</f>
        <v>16931.5</v>
      </c>
      <c r="G18" s="85">
        <f>+AVERAGE(G19:G20)</f>
        <v>17171</v>
      </c>
      <c r="H18" s="85">
        <f>+AVERAGE(H19:H20)</f>
        <v>18416.5</v>
      </c>
      <c r="I18" s="85">
        <f>+AVERAGE(I19:I20)</f>
        <v>18627.5</v>
      </c>
      <c r="J18" s="85"/>
      <c r="L18" s="76">
        <v>634.47974599999998</v>
      </c>
      <c r="M18" s="76">
        <f>+((0.916666666666667)*(L18-3.78528))+((0.0833333333333333)*(L18))</f>
        <v>631.00990600000011</v>
      </c>
      <c r="N18" s="85">
        <f>+AVERAGE(N19:N20)</f>
        <v>634.47974599999998</v>
      </c>
      <c r="O18" s="85">
        <f>+AVERAGE(O19:O20)</f>
        <v>634.47974599999998</v>
      </c>
      <c r="P18" s="85">
        <f>+AVERAGE(P19:P20)</f>
        <v>634.47974599999998</v>
      </c>
      <c r="Q18" s="85"/>
      <c r="S18" s="85">
        <f>+AVERAGE(S19:S20)</f>
        <v>5483.5</v>
      </c>
      <c r="T18" s="85">
        <f>+AVERAGE(T19:T20)</f>
        <v>8654</v>
      </c>
      <c r="U18" s="85">
        <f>+AVERAGE(U19:U20)</f>
        <v>9813</v>
      </c>
      <c r="V18" s="85">
        <f>+AVERAGE(V19:V20)</f>
        <v>10970</v>
      </c>
      <c r="W18" s="85"/>
      <c r="AE18" s="85">
        <f>+AVERAGE(AE19:AE20)</f>
        <v>1683</v>
      </c>
      <c r="AF18" s="85">
        <f>+AVERAGE(AF19:AF20)</f>
        <v>1989.5</v>
      </c>
      <c r="AG18" s="85">
        <f>+AVERAGE(AG19:AG20)</f>
        <v>2270.5</v>
      </c>
      <c r="AH18" s="85">
        <f>+AVERAGE(AH19:AH20)</f>
        <v>2423</v>
      </c>
      <c r="AI18" s="85"/>
      <c r="AK18" s="85">
        <f>+AVERAGE(AK19:AK20)</f>
        <v>1476.5</v>
      </c>
      <c r="AL18" s="85">
        <f>+AVERAGE(AL19:AL20)</f>
        <v>1735</v>
      </c>
      <c r="AM18" s="85">
        <f>+AVERAGE(AM19:AM20)</f>
        <v>1988.5</v>
      </c>
      <c r="AN18" s="85">
        <f>+AVERAGE(AN19:AN20)</f>
        <v>2122</v>
      </c>
      <c r="AO18" s="85"/>
      <c r="AQ18" s="85">
        <f>+AVERAGE(AQ19:AQ20)</f>
        <v>932</v>
      </c>
      <c r="AR18" s="85">
        <f>+AVERAGE(AR19:AR20)</f>
        <v>1243</v>
      </c>
      <c r="AS18" s="85">
        <f>+AVERAGE(AS19:AS20)</f>
        <v>1498</v>
      </c>
      <c r="AT18" s="85"/>
      <c r="AU18" s="85"/>
      <c r="AW18" s="85">
        <f t="shared" ref="AW18:BC18" si="5">+AVERAGE(AW19:AW20)</f>
        <v>968</v>
      </c>
      <c r="AX18" s="85">
        <f t="shared" si="5"/>
        <v>1185</v>
      </c>
      <c r="AY18" s="85">
        <f t="shared" si="5"/>
        <v>1373.5</v>
      </c>
      <c r="AZ18" s="85">
        <f t="shared" si="5"/>
        <v>1414</v>
      </c>
      <c r="BA18" s="85"/>
      <c r="BC18" s="85">
        <f t="shared" si="5"/>
        <v>752.5</v>
      </c>
      <c r="BD18" s="85">
        <f>+AVERAGE(BD19:BD20)</f>
        <v>1120.5</v>
      </c>
      <c r="BE18" s="85">
        <f>+AVERAGE(BE19:BE20)</f>
        <v>1301.5</v>
      </c>
      <c r="BF18" s="85">
        <f>+AVERAGE(BF19:BF20)</f>
        <v>1342</v>
      </c>
      <c r="BG18" s="85"/>
      <c r="BI18" s="86">
        <f>+AK18/M18</f>
        <v>2.3398998747255795</v>
      </c>
      <c r="BJ18" s="86">
        <f>+AL18/N18</f>
        <v>2.7345238535005971</v>
      </c>
      <c r="BK18" s="86">
        <f>+AM18/O18</f>
        <v>3.1340637940552951</v>
      </c>
      <c r="BL18" s="86">
        <f>+AN18/P18</f>
        <v>3.3444724018030358</v>
      </c>
      <c r="BN18" s="86">
        <f>+AQ18/M18</f>
        <v>1.4769974149977922</v>
      </c>
      <c r="BO18" s="86">
        <f>+AR18/N18</f>
        <v>1.9590853889920705</v>
      </c>
      <c r="BP18" s="86">
        <f>+AS18/O18</f>
        <v>2.3609894712068558</v>
      </c>
      <c r="BQ18" s="86"/>
      <c r="BS18" s="86">
        <f>+AW18/M18</f>
        <v>1.5340488172938442</v>
      </c>
      <c r="BT18" s="86">
        <f>+AX18/N18</f>
        <v>1.8676719114687075</v>
      </c>
      <c r="BU18" s="86">
        <f>+AY18/O18</f>
        <v>2.1647657134196368</v>
      </c>
      <c r="BV18" s="86">
        <f>+AZ18/P18</f>
        <v>2.2285975382419854</v>
      </c>
      <c r="BX18" s="86">
        <f>+BC18/M18</f>
        <v>1.1925327841049771</v>
      </c>
      <c r="BY18" s="86">
        <f>+BD18/N18</f>
        <v>1.7660138200849678</v>
      </c>
      <c r="BZ18" s="86">
        <f>+BE18/O18</f>
        <v>2.0512869137354621</v>
      </c>
      <c r="CA18" s="86">
        <f>+BF18/P18</f>
        <v>2.1151187385578107</v>
      </c>
      <c r="CC18" s="86">
        <f>+F18/M18</f>
        <v>26.832383832655704</v>
      </c>
      <c r="CD18" s="86">
        <f>+G18/N18</f>
        <v>27.063117630235592</v>
      </c>
      <c r="CE18" s="86">
        <f>+H18/O18</f>
        <v>29.026143255327806</v>
      </c>
      <c r="CF18" s="86">
        <f>+I18/P18</f>
        <v>29.358699182180043</v>
      </c>
    </row>
    <row r="19" spans="1:86">
      <c r="B19" s="72" t="s">
        <v>84</v>
      </c>
      <c r="C19" s="73">
        <v>41925</v>
      </c>
      <c r="E19" s="75"/>
      <c r="F19" s="76">
        <v>17027</v>
      </c>
      <c r="G19" s="76">
        <v>17251</v>
      </c>
      <c r="H19" s="76">
        <v>19491</v>
      </c>
      <c r="I19" s="76">
        <v>19672</v>
      </c>
      <c r="J19" s="76"/>
      <c r="K19" s="75"/>
      <c r="L19" s="76"/>
      <c r="M19" s="76"/>
      <c r="N19" s="76"/>
      <c r="O19" s="76"/>
      <c r="P19" s="76"/>
      <c r="Q19" s="76"/>
      <c r="R19" s="75"/>
      <c r="S19" s="76">
        <f>7592-1052</f>
        <v>6540</v>
      </c>
      <c r="T19" s="76">
        <f>9092-221</f>
        <v>8871</v>
      </c>
      <c r="U19" s="76">
        <f>9092-45</f>
        <v>9047</v>
      </c>
      <c r="V19" s="76">
        <f>12092-660</f>
        <v>11432</v>
      </c>
      <c r="W19" s="76"/>
      <c r="X19" s="75"/>
      <c r="Y19" s="76"/>
      <c r="Z19" s="76"/>
      <c r="AA19" s="76"/>
      <c r="AB19" s="76"/>
      <c r="AC19" s="76"/>
      <c r="AD19" s="75"/>
      <c r="AE19" s="76">
        <v>1652</v>
      </c>
      <c r="AF19" s="76">
        <v>1844</v>
      </c>
      <c r="AG19" s="76">
        <v>2123</v>
      </c>
      <c r="AH19" s="76">
        <v>2374</v>
      </c>
      <c r="AI19" s="76"/>
      <c r="AJ19" s="75"/>
      <c r="AK19" s="76">
        <v>1440</v>
      </c>
      <c r="AL19" s="76">
        <v>1583</v>
      </c>
      <c r="AM19" s="76">
        <v>1838</v>
      </c>
      <c r="AN19" s="76">
        <v>2060</v>
      </c>
      <c r="AO19" s="76"/>
      <c r="AP19" s="75"/>
      <c r="AQ19" s="76">
        <v>932</v>
      </c>
      <c r="AR19" s="76">
        <v>1243</v>
      </c>
      <c r="AS19" s="76">
        <v>1498</v>
      </c>
      <c r="AT19" s="76"/>
      <c r="AU19" s="76"/>
      <c r="AV19" s="75"/>
      <c r="AW19" s="76">
        <v>833</v>
      </c>
      <c r="AX19" s="76">
        <v>1073</v>
      </c>
      <c r="AY19" s="76">
        <v>1323</v>
      </c>
      <c r="AZ19" s="76"/>
      <c r="BA19" s="76"/>
      <c r="BB19" s="75"/>
      <c r="BC19" s="76">
        <v>833</v>
      </c>
      <c r="BD19" s="76">
        <v>1019</v>
      </c>
      <c r="BE19" s="76">
        <v>1257</v>
      </c>
      <c r="BF19" s="76"/>
      <c r="BG19" s="76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</row>
    <row r="20" spans="1:86">
      <c r="B20" s="72" t="s">
        <v>91</v>
      </c>
      <c r="C20" s="73">
        <v>41952</v>
      </c>
      <c r="E20" s="75"/>
      <c r="F20" s="76">
        <v>16836</v>
      </c>
      <c r="G20" s="76">
        <v>17091</v>
      </c>
      <c r="H20" s="76">
        <v>17342</v>
      </c>
      <c r="I20" s="76">
        <v>17583</v>
      </c>
      <c r="J20" s="76"/>
      <c r="K20" s="75"/>
      <c r="L20" s="76"/>
      <c r="M20" s="76"/>
      <c r="N20" s="76">
        <v>634.47974599999998</v>
      </c>
      <c r="O20" s="76">
        <v>634.47974599999998</v>
      </c>
      <c r="P20" s="76">
        <v>634.47974599999998</v>
      </c>
      <c r="Q20" s="76"/>
      <c r="R20" s="75"/>
      <c r="S20" s="76">
        <v>4427</v>
      </c>
      <c r="T20" s="76">
        <v>8437</v>
      </c>
      <c r="U20" s="76">
        <v>10579</v>
      </c>
      <c r="V20" s="76">
        <v>10508</v>
      </c>
      <c r="W20" s="76"/>
      <c r="X20" s="75"/>
      <c r="Y20" s="76"/>
      <c r="Z20" s="76"/>
      <c r="AA20" s="76"/>
      <c r="AB20" s="76"/>
      <c r="AC20" s="76"/>
      <c r="AD20" s="75"/>
      <c r="AE20" s="76">
        <v>1714</v>
      </c>
      <c r="AF20" s="76">
        <v>2135</v>
      </c>
      <c r="AG20" s="76">
        <v>2418</v>
      </c>
      <c r="AH20" s="76">
        <v>2472</v>
      </c>
      <c r="AI20" s="76"/>
      <c r="AJ20" s="75"/>
      <c r="AK20" s="76">
        <v>1513</v>
      </c>
      <c r="AL20" s="76">
        <v>1887</v>
      </c>
      <c r="AM20" s="76">
        <v>2139</v>
      </c>
      <c r="AN20" s="76">
        <v>2184</v>
      </c>
      <c r="AO20" s="76"/>
      <c r="AP20" s="75"/>
      <c r="AQ20" s="76"/>
      <c r="AR20" s="76"/>
      <c r="AS20" s="76"/>
      <c r="AT20" s="76"/>
      <c r="AU20" s="76"/>
      <c r="AV20" s="75"/>
      <c r="AW20" s="76">
        <v>1103</v>
      </c>
      <c r="AX20" s="76">
        <v>1297</v>
      </c>
      <c r="AY20" s="76">
        <v>1424</v>
      </c>
      <c r="AZ20" s="76">
        <v>1414</v>
      </c>
      <c r="BA20" s="76"/>
      <c r="BB20" s="75"/>
      <c r="BC20" s="76">
        <v>672</v>
      </c>
      <c r="BD20" s="76">
        <v>1222</v>
      </c>
      <c r="BE20" s="76">
        <v>1346</v>
      </c>
      <c r="BF20" s="76">
        <v>1342</v>
      </c>
      <c r="BG20" s="76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</row>
    <row r="21" spans="1:86" ht="5.0999999999999996" customHeight="1">
      <c r="B21" s="72"/>
      <c r="C21" s="73"/>
      <c r="E21" s="75"/>
      <c r="F21" s="76"/>
      <c r="G21" s="76"/>
      <c r="H21" s="76"/>
      <c r="I21" s="76"/>
      <c r="J21" s="76"/>
      <c r="K21" s="75"/>
      <c r="L21" s="76"/>
      <c r="M21" s="76"/>
      <c r="N21" s="76"/>
      <c r="O21" s="76"/>
      <c r="P21" s="76"/>
      <c r="Q21" s="76"/>
      <c r="R21" s="75"/>
      <c r="S21" s="76"/>
      <c r="T21" s="76"/>
      <c r="U21" s="76"/>
      <c r="V21" s="76"/>
      <c r="W21" s="76"/>
      <c r="X21" s="75"/>
      <c r="Y21" s="76"/>
      <c r="Z21" s="76"/>
      <c r="AA21" s="76"/>
      <c r="AB21" s="76"/>
      <c r="AC21" s="76"/>
      <c r="AD21" s="75"/>
      <c r="AE21" s="76"/>
      <c r="AF21" s="76"/>
      <c r="AG21" s="76"/>
      <c r="AH21" s="76"/>
      <c r="AI21" s="76"/>
      <c r="AJ21" s="75"/>
      <c r="AK21" s="76"/>
      <c r="AL21" s="76"/>
      <c r="AM21" s="76"/>
      <c r="AN21" s="76"/>
      <c r="AO21" s="76"/>
      <c r="AP21" s="75"/>
      <c r="AQ21" s="76"/>
      <c r="AR21" s="76"/>
      <c r="AS21" s="76"/>
      <c r="AT21" s="76"/>
      <c r="AU21" s="76"/>
      <c r="AV21" s="75"/>
      <c r="AW21" s="76"/>
      <c r="AX21" s="76"/>
      <c r="AY21" s="76"/>
      <c r="AZ21" s="76"/>
      <c r="BA21" s="76"/>
      <c r="BB21" s="75"/>
      <c r="BC21" s="76"/>
      <c r="BD21" s="76"/>
      <c r="BE21" s="76"/>
      <c r="BF21" s="76"/>
      <c r="BG21" s="76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</row>
    <row r="22" spans="1:86">
      <c r="B22" s="72" t="s">
        <v>96</v>
      </c>
      <c r="C22" s="73">
        <v>42230</v>
      </c>
      <c r="E22" s="75"/>
      <c r="F22" s="76">
        <v>1341</v>
      </c>
      <c r="G22" s="76">
        <v>1387</v>
      </c>
      <c r="H22" s="76">
        <v>1424</v>
      </c>
      <c r="I22" s="76">
        <v>1459</v>
      </c>
      <c r="J22" s="76"/>
      <c r="K22" s="75"/>
      <c r="L22" s="76"/>
      <c r="M22" s="76"/>
      <c r="N22" s="76">
        <v>634.47974599999998</v>
      </c>
      <c r="O22" s="76">
        <v>634.47974599999998</v>
      </c>
      <c r="P22" s="76">
        <v>634.47974599999998</v>
      </c>
      <c r="Q22" s="76"/>
      <c r="R22" s="75"/>
      <c r="S22" s="76">
        <v>660</v>
      </c>
      <c r="T22" s="76">
        <v>627</v>
      </c>
      <c r="U22" s="76">
        <v>741</v>
      </c>
      <c r="V22" s="76">
        <v>856</v>
      </c>
      <c r="W22" s="76"/>
      <c r="X22" s="75"/>
      <c r="Y22" s="76"/>
      <c r="Z22" s="76"/>
      <c r="AA22" s="76"/>
      <c r="AB22" s="76"/>
      <c r="AC22" s="76"/>
      <c r="AD22" s="75"/>
      <c r="AE22" s="76">
        <v>66</v>
      </c>
      <c r="AF22" s="76">
        <v>142</v>
      </c>
      <c r="AG22" s="76">
        <v>150</v>
      </c>
      <c r="AH22" s="76">
        <v>159</v>
      </c>
      <c r="AI22" s="76"/>
      <c r="AJ22" s="75"/>
      <c r="AK22" s="76">
        <v>64</v>
      </c>
      <c r="AL22" s="76">
        <v>104</v>
      </c>
      <c r="AM22" s="76">
        <v>131</v>
      </c>
      <c r="AN22" s="76">
        <v>139</v>
      </c>
      <c r="AO22" s="76"/>
      <c r="AP22" s="75"/>
      <c r="AQ22" s="76"/>
      <c r="AR22" s="76"/>
      <c r="AS22" s="76"/>
      <c r="AT22" s="76"/>
      <c r="AU22" s="76"/>
      <c r="AV22" s="75"/>
      <c r="AW22" s="76">
        <v>27</v>
      </c>
      <c r="AX22" s="76">
        <v>46</v>
      </c>
      <c r="AY22" s="76">
        <v>58</v>
      </c>
      <c r="AZ22" s="76">
        <v>61</v>
      </c>
      <c r="BA22" s="76"/>
      <c r="BB22" s="75"/>
      <c r="BC22" s="76"/>
      <c r="BD22" s="76"/>
      <c r="BE22" s="76"/>
      <c r="BF22" s="76"/>
      <c r="BG22" s="76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8">
        <v>0.04</v>
      </c>
      <c r="BY22" s="78">
        <v>7.0000000000000007E-2</v>
      </c>
      <c r="BZ22" s="78">
        <v>0.09</v>
      </c>
      <c r="CA22" s="78">
        <v>0.09</v>
      </c>
      <c r="CB22" s="75"/>
      <c r="CC22" s="75"/>
      <c r="CD22" s="75"/>
      <c r="CE22" s="75"/>
      <c r="CF22" s="75"/>
      <c r="CG22" s="75"/>
      <c r="CH22" s="75"/>
    </row>
    <row r="23" spans="1:86">
      <c r="B23" s="72"/>
      <c r="C23" s="73"/>
      <c r="E23" s="75"/>
      <c r="F23" s="76"/>
      <c r="G23" s="76"/>
      <c r="H23" s="76"/>
      <c r="I23" s="76"/>
      <c r="J23" s="76"/>
      <c r="K23" s="75"/>
      <c r="L23" s="76"/>
      <c r="M23" s="87"/>
      <c r="N23" s="76"/>
      <c r="O23" s="76"/>
      <c r="P23" s="76"/>
      <c r="Q23" s="76"/>
      <c r="R23" s="75"/>
      <c r="S23" s="76"/>
      <c r="T23" s="76"/>
      <c r="U23" s="76"/>
      <c r="V23" s="76"/>
      <c r="W23" s="76"/>
      <c r="X23" s="75"/>
      <c r="Y23" s="76"/>
      <c r="Z23" s="76"/>
      <c r="AA23" s="76"/>
      <c r="AB23" s="76"/>
      <c r="AC23" s="76"/>
      <c r="AD23" s="75"/>
      <c r="AE23" s="76"/>
      <c r="AF23" s="76"/>
      <c r="AG23" s="76"/>
      <c r="AH23" s="76"/>
      <c r="AI23" s="76"/>
      <c r="AJ23" s="75"/>
      <c r="AK23" s="76"/>
      <c r="AL23" s="76"/>
      <c r="AM23" s="76"/>
      <c r="AN23" s="76"/>
      <c r="AO23" s="76"/>
      <c r="AP23" s="75"/>
      <c r="AQ23" s="76"/>
      <c r="AR23" s="76"/>
      <c r="AS23" s="76"/>
      <c r="AT23" s="76"/>
      <c r="AU23" s="76"/>
      <c r="AV23" s="75"/>
      <c r="AW23" s="76"/>
      <c r="AX23" s="76"/>
      <c r="AY23" s="76"/>
      <c r="AZ23" s="76"/>
      <c r="BA23" s="76"/>
      <c r="BB23" s="75"/>
      <c r="BC23" s="76"/>
      <c r="BD23" s="76"/>
      <c r="BE23" s="76"/>
      <c r="BF23" s="76"/>
      <c r="BG23" s="76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</row>
    <row r="24" spans="1:86">
      <c r="A24" s="59" t="s">
        <v>28</v>
      </c>
      <c r="B24" s="72"/>
      <c r="C24" s="73"/>
      <c r="E24" s="76">
        <v>7039.607</v>
      </c>
      <c r="F24" s="85">
        <f>+AVERAGE(F25:F28)</f>
        <v>6959</v>
      </c>
      <c r="G24" s="85">
        <f>+AVERAGE(G25:G28)</f>
        <v>7570.25</v>
      </c>
      <c r="H24" s="85">
        <f>+AVERAGE(H25:H28)</f>
        <v>7908.75</v>
      </c>
      <c r="I24" s="85">
        <f>+AVERAGE(I25:I28)</f>
        <v>8252.6666666666661</v>
      </c>
      <c r="J24" s="85"/>
      <c r="K24" s="75"/>
      <c r="L24" s="76">
        <v>384.80755199999999</v>
      </c>
      <c r="M24" s="76">
        <f>+((9.25/12)*275.111459)+((2.75/12)*384.807552)</f>
        <v>300.25014697916669</v>
      </c>
      <c r="N24" s="85">
        <f>+AVERAGE(N25:N28)</f>
        <v>384.80755199999999</v>
      </c>
      <c r="O24" s="85">
        <f>+AVERAGE(O25:O28)</f>
        <v>384.80755199999999</v>
      </c>
      <c r="P24" s="85">
        <f>+AVERAGE(P25:P28)</f>
        <v>384.80755199999999</v>
      </c>
      <c r="Q24" s="85"/>
      <c r="R24" s="75"/>
      <c r="S24" s="85">
        <f>+AVERAGE(S25:S28)</f>
        <v>-1350</v>
      </c>
      <c r="T24" s="85">
        <f>+AVERAGE(T25:T28)</f>
        <v>-353.25</v>
      </c>
      <c r="U24" s="85">
        <f>+AVERAGE(U25:U28)</f>
        <v>549.25</v>
      </c>
      <c r="V24" s="85">
        <f>+AVERAGE(V25:V28)</f>
        <v>1226.3333333333333</v>
      </c>
      <c r="W24" s="85"/>
      <c r="X24" s="75"/>
      <c r="Y24" s="76"/>
      <c r="Z24" s="76"/>
      <c r="AA24" s="76"/>
      <c r="AB24" s="76"/>
      <c r="AC24" s="76"/>
      <c r="AD24" s="75"/>
      <c r="AE24" s="76"/>
      <c r="AF24" s="76"/>
      <c r="AG24" s="76"/>
      <c r="AH24" s="76"/>
      <c r="AI24" s="76"/>
      <c r="AJ24" s="75"/>
      <c r="AK24" s="85">
        <f>+AVERAGE(AK25:AK28)</f>
        <v>459.66666666666669</v>
      </c>
      <c r="AL24" s="85">
        <f>+AVERAGE(AL25:AL28)</f>
        <v>563.5</v>
      </c>
      <c r="AM24" s="85">
        <f>+AVERAGE(AM25:AM28)</f>
        <v>742</v>
      </c>
      <c r="AN24" s="85">
        <f>+AVERAGE(AN25:AN28)</f>
        <v>938.33333333333337</v>
      </c>
      <c r="AO24" s="85"/>
      <c r="AP24" s="75"/>
      <c r="AQ24" s="85">
        <f>+AVERAGE(AQ25:AQ28)</f>
        <v>346</v>
      </c>
      <c r="AR24" s="85">
        <f>+AVERAGE(AR25:AR28)</f>
        <v>458</v>
      </c>
      <c r="AS24" s="85">
        <f>+AVERAGE(AS25:AS28)</f>
        <v>588.25</v>
      </c>
      <c r="AT24" s="85">
        <f>+AVERAGE(AT25:AT28)</f>
        <v>731.66666666666663</v>
      </c>
      <c r="AU24" s="85"/>
      <c r="AV24" s="75"/>
      <c r="AW24" s="85"/>
      <c r="AX24" s="85"/>
      <c r="AY24" s="85"/>
      <c r="AZ24" s="85"/>
      <c r="BA24" s="85"/>
      <c r="BB24" s="75"/>
      <c r="BC24" s="76"/>
      <c r="BD24" s="76"/>
      <c r="BE24" s="76"/>
      <c r="BF24" s="76"/>
      <c r="BG24" s="76"/>
      <c r="BH24" s="75"/>
      <c r="BI24" s="86">
        <f>+AK24/M24</f>
        <v>1.5309456840950735</v>
      </c>
      <c r="BJ24" s="86">
        <f>+AL24/N24</f>
        <v>1.464368350026561</v>
      </c>
      <c r="BK24" s="86">
        <f>+AM24/O24</f>
        <v>1.9282365851281422</v>
      </c>
      <c r="BL24" s="86">
        <f>+AN24/P24</f>
        <v>2.4384483320465953</v>
      </c>
      <c r="BM24" s="75"/>
      <c r="BN24" s="86">
        <f>+AQ24/M24</f>
        <v>1.1523724583688804</v>
      </c>
      <c r="BO24" s="86">
        <f>+AR24/N24</f>
        <v>1.1902053315211445</v>
      </c>
      <c r="BP24" s="86">
        <f>+AS24/O24</f>
        <v>1.5286862145574525</v>
      </c>
      <c r="BQ24" s="86">
        <f>+AT24/P24</f>
        <v>1.9013833352903289</v>
      </c>
      <c r="BR24" s="75"/>
      <c r="BS24" s="86"/>
      <c r="BT24" s="86"/>
      <c r="BU24" s="86"/>
      <c r="BV24" s="86"/>
      <c r="BW24" s="75"/>
      <c r="BX24" s="75"/>
      <c r="BY24" s="75"/>
      <c r="BZ24" s="75"/>
      <c r="CA24" s="75"/>
      <c r="CB24" s="75"/>
      <c r="CC24" s="86">
        <f>+F24/M24</f>
        <v>23.177340860661964</v>
      </c>
      <c r="CD24" s="86">
        <f>+G24/N24</f>
        <v>19.672820766261886</v>
      </c>
      <c r="CE24" s="86">
        <f>+H24/O24</f>
        <v>20.552481256916703</v>
      </c>
      <c r="CF24" s="86">
        <f>+I24/P24</f>
        <v>21.446218047889733</v>
      </c>
      <c r="CG24" s="75"/>
      <c r="CH24" s="75"/>
    </row>
    <row r="25" spans="1:86">
      <c r="B25" s="72" t="s">
        <v>93</v>
      </c>
      <c r="C25" s="73">
        <v>42246</v>
      </c>
      <c r="E25" s="75"/>
      <c r="F25" s="76">
        <v>6959</v>
      </c>
      <c r="G25" s="76">
        <v>7156</v>
      </c>
      <c r="H25" s="76">
        <v>7430</v>
      </c>
      <c r="I25" s="76">
        <v>7762</v>
      </c>
      <c r="J25" s="76"/>
      <c r="K25" s="75"/>
      <c r="L25" s="76"/>
      <c r="M25" s="76"/>
      <c r="N25" s="76">
        <v>384.80755199999999</v>
      </c>
      <c r="O25" s="76">
        <v>384.80755199999999</v>
      </c>
      <c r="P25" s="76">
        <v>384.80755199999999</v>
      </c>
      <c r="Q25" s="76"/>
      <c r="R25" s="75"/>
      <c r="S25" s="76">
        <f>1903-3184</f>
        <v>-1281</v>
      </c>
      <c r="T25" s="76">
        <f>2060-2145</f>
        <v>-85</v>
      </c>
      <c r="U25" s="76">
        <f>2682-1582</f>
        <v>1100</v>
      </c>
      <c r="V25" s="76">
        <f>3356-971</f>
        <v>2385</v>
      </c>
      <c r="W25" s="76"/>
      <c r="X25" s="75"/>
      <c r="Y25" s="76"/>
      <c r="Z25" s="76"/>
      <c r="AA25" s="76"/>
      <c r="AB25" s="76"/>
      <c r="AC25" s="76"/>
      <c r="AD25" s="75"/>
      <c r="AE25" s="76"/>
      <c r="AF25" s="76"/>
      <c r="AG25" s="76"/>
      <c r="AH25" s="76"/>
      <c r="AI25" s="76"/>
      <c r="AJ25" s="75"/>
      <c r="AK25" s="76"/>
      <c r="AL25" s="76">
        <v>569</v>
      </c>
      <c r="AM25" s="76">
        <v>723</v>
      </c>
      <c r="AN25" s="76">
        <v>927</v>
      </c>
      <c r="AO25" s="76"/>
      <c r="AP25" s="79"/>
      <c r="AQ25" s="76"/>
      <c r="AR25" s="76">
        <v>488</v>
      </c>
      <c r="AS25" s="76">
        <v>572</v>
      </c>
      <c r="AT25" s="76">
        <v>694</v>
      </c>
      <c r="AU25" s="76"/>
      <c r="AV25" s="79"/>
      <c r="BB25" s="75"/>
      <c r="BC25" s="76">
        <v>0</v>
      </c>
      <c r="BD25" s="76">
        <v>0</v>
      </c>
      <c r="BE25" s="76">
        <v>0</v>
      </c>
      <c r="BF25" s="76">
        <v>0</v>
      </c>
      <c r="BG25" s="76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8"/>
      <c r="BY25" s="78"/>
      <c r="BZ25" s="78"/>
      <c r="CA25" s="78"/>
      <c r="CB25" s="75"/>
      <c r="CC25" s="75"/>
      <c r="CD25" s="75"/>
      <c r="CE25" s="75"/>
      <c r="CF25" s="75"/>
      <c r="CG25" s="75"/>
      <c r="CH25" s="75"/>
    </row>
    <row r="26" spans="1:86">
      <c r="B26" s="72" t="s">
        <v>81</v>
      </c>
      <c r="C26" s="73">
        <v>42187</v>
      </c>
      <c r="E26" s="75"/>
      <c r="F26" s="76">
        <v>6959</v>
      </c>
      <c r="G26" s="76">
        <v>7249</v>
      </c>
      <c r="H26" s="76">
        <v>7744</v>
      </c>
      <c r="I26" s="76">
        <v>8403</v>
      </c>
      <c r="J26" s="76"/>
      <c r="K26" s="75"/>
      <c r="L26" s="76"/>
      <c r="M26" s="76"/>
      <c r="N26" s="76">
        <v>384.80755199999999</v>
      </c>
      <c r="O26" s="76">
        <v>384.80755199999999</v>
      </c>
      <c r="P26" s="76">
        <v>384.80755199999999</v>
      </c>
      <c r="Q26" s="76"/>
      <c r="R26" s="75"/>
      <c r="S26" s="76">
        <f>1892-3184</f>
        <v>-1292</v>
      </c>
      <c r="T26" s="76">
        <f>1982-2535</f>
        <v>-553</v>
      </c>
      <c r="U26" s="76">
        <f>2182-2318</f>
        <v>-136</v>
      </c>
      <c r="V26" s="76">
        <f>2382-2416</f>
        <v>-34</v>
      </c>
      <c r="W26" s="76"/>
      <c r="X26" s="75"/>
      <c r="Y26" s="76"/>
      <c r="Z26" s="76"/>
      <c r="AA26" s="76"/>
      <c r="AB26" s="76"/>
      <c r="AC26" s="76"/>
      <c r="AD26" s="75"/>
      <c r="AE26" s="76"/>
      <c r="AF26" s="76"/>
      <c r="AG26" s="76"/>
      <c r="AH26" s="76"/>
      <c r="AI26" s="76"/>
      <c r="AJ26" s="75"/>
      <c r="AK26" s="76">
        <v>457</v>
      </c>
      <c r="AL26" s="76">
        <v>554</v>
      </c>
      <c r="AM26" s="76">
        <v>766</v>
      </c>
      <c r="AN26" s="76">
        <v>987</v>
      </c>
      <c r="AO26" s="76"/>
      <c r="AP26" s="75"/>
      <c r="AQ26" s="76">
        <f>159+207</f>
        <v>366</v>
      </c>
      <c r="AR26" s="76">
        <f>227+253</f>
        <v>480</v>
      </c>
      <c r="AS26" s="76">
        <f>341+287</f>
        <v>628</v>
      </c>
      <c r="AT26" s="76">
        <f>485+316</f>
        <v>801</v>
      </c>
      <c r="AU26" s="76"/>
      <c r="AV26" s="75" t="s">
        <v>98</v>
      </c>
      <c r="BB26" s="75"/>
      <c r="BC26" s="76">
        <v>0</v>
      </c>
      <c r="BD26" s="76">
        <v>0</v>
      </c>
      <c r="BE26" s="76">
        <v>0</v>
      </c>
      <c r="BF26" s="76">
        <v>0</v>
      </c>
      <c r="BG26" s="76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</row>
    <row r="27" spans="1:86">
      <c r="B27" s="72" t="s">
        <v>80</v>
      </c>
      <c r="C27" s="73">
        <v>42116</v>
      </c>
      <c r="E27" s="75"/>
      <c r="F27" s="76">
        <v>6959</v>
      </c>
      <c r="G27" s="76">
        <v>7853</v>
      </c>
      <c r="H27" s="76">
        <v>8169</v>
      </c>
      <c r="I27" s="76">
        <v>8593</v>
      </c>
      <c r="J27" s="76"/>
      <c r="K27" s="75"/>
      <c r="L27" s="76"/>
      <c r="M27" s="76"/>
      <c r="N27" s="76">
        <v>384.80755199999999</v>
      </c>
      <c r="O27" s="76">
        <v>384.80755199999999</v>
      </c>
      <c r="P27" s="76">
        <v>384.80755199999999</v>
      </c>
      <c r="Q27" s="76"/>
      <c r="R27" s="75"/>
      <c r="S27" s="76">
        <v>-1468</v>
      </c>
      <c r="T27" s="76">
        <v>-678</v>
      </c>
      <c r="U27" s="76">
        <v>336</v>
      </c>
      <c r="V27" s="76">
        <v>1328</v>
      </c>
      <c r="W27" s="76"/>
      <c r="X27" s="75"/>
      <c r="Y27" s="76"/>
      <c r="Z27" s="76"/>
      <c r="AA27" s="76"/>
      <c r="AB27" s="76"/>
      <c r="AC27" s="76"/>
      <c r="AD27" s="75"/>
      <c r="AE27" s="76"/>
      <c r="AF27" s="76"/>
      <c r="AG27" s="76"/>
      <c r="AH27" s="76"/>
      <c r="AI27" s="76"/>
      <c r="AJ27" s="75"/>
      <c r="AK27" s="76">
        <v>457</v>
      </c>
      <c r="AL27" s="76">
        <v>543</v>
      </c>
      <c r="AM27" s="76">
        <v>701</v>
      </c>
      <c r="AN27" s="76">
        <v>901</v>
      </c>
      <c r="AO27" s="76"/>
      <c r="AP27" s="75"/>
      <c r="AQ27" s="76">
        <v>350</v>
      </c>
      <c r="AR27" s="76">
        <v>431</v>
      </c>
      <c r="AS27" s="76">
        <v>551</v>
      </c>
      <c r="AT27" s="76">
        <v>700</v>
      </c>
      <c r="AU27" s="76"/>
      <c r="AV27" s="75"/>
      <c r="BB27" s="75"/>
      <c r="BC27" s="76">
        <v>0</v>
      </c>
      <c r="BD27" s="76">
        <v>0</v>
      </c>
      <c r="BE27" s="76">
        <v>0</v>
      </c>
      <c r="BF27" s="76">
        <v>0</v>
      </c>
      <c r="BG27" s="76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</row>
    <row r="28" spans="1:86">
      <c r="B28" s="72" t="s">
        <v>94</v>
      </c>
      <c r="C28" s="73">
        <v>42041</v>
      </c>
      <c r="E28" s="75"/>
      <c r="F28" s="76">
        <v>6959</v>
      </c>
      <c r="G28" s="76">
        <v>8023</v>
      </c>
      <c r="H28" s="76">
        <v>8292</v>
      </c>
      <c r="I28" s="76"/>
      <c r="J28" s="76"/>
      <c r="K28" s="75"/>
      <c r="L28" s="76"/>
      <c r="M28" s="76"/>
      <c r="N28" s="76"/>
      <c r="O28" s="76"/>
      <c r="P28" s="76"/>
      <c r="Q28" s="76"/>
      <c r="R28" s="75"/>
      <c r="S28" s="76">
        <v>-1359</v>
      </c>
      <c r="T28" s="76">
        <v>-97</v>
      </c>
      <c r="U28" s="76">
        <v>897</v>
      </c>
      <c r="V28" s="76"/>
      <c r="W28" s="76"/>
      <c r="X28" s="75"/>
      <c r="Y28" s="76"/>
      <c r="Z28" s="76"/>
      <c r="AA28" s="76"/>
      <c r="AB28" s="76"/>
      <c r="AC28" s="76"/>
      <c r="AD28" s="75"/>
      <c r="AE28" s="76"/>
      <c r="AF28" s="76"/>
      <c r="AG28" s="76"/>
      <c r="AH28" s="76"/>
      <c r="AI28" s="76"/>
      <c r="AJ28" s="75"/>
      <c r="AK28" s="76">
        <v>465</v>
      </c>
      <c r="AL28" s="76">
        <v>588</v>
      </c>
      <c r="AM28" s="76">
        <v>778</v>
      </c>
      <c r="AN28" s="76"/>
      <c r="AO28" s="76"/>
      <c r="AP28" s="75"/>
      <c r="AQ28" s="76">
        <f>117+205</f>
        <v>322</v>
      </c>
      <c r="AR28" s="76">
        <f>255+178</f>
        <v>433</v>
      </c>
      <c r="AS28" s="76">
        <f>270+332</f>
        <v>602</v>
      </c>
      <c r="AT28" s="76"/>
      <c r="AU28" s="76"/>
      <c r="AV28" s="75"/>
      <c r="BB28" s="75"/>
      <c r="BC28" s="76">
        <v>0</v>
      </c>
      <c r="BD28" s="76">
        <v>0</v>
      </c>
      <c r="BE28" s="76">
        <v>0</v>
      </c>
      <c r="BF28" s="76">
        <v>0</v>
      </c>
      <c r="BG28" s="76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</row>
    <row r="30" spans="1:86">
      <c r="A30" s="59" t="s">
        <v>6</v>
      </c>
      <c r="E30" s="76">
        <v>9621.2039999999997</v>
      </c>
      <c r="F30" s="85">
        <f>+AVERAGE(F31:F34)</f>
        <v>9767</v>
      </c>
      <c r="G30" s="85">
        <f>+AVERAGE(G31:G34)</f>
        <v>9622.25</v>
      </c>
      <c r="H30" s="85">
        <f>+AVERAGE(H31:H34)</f>
        <v>9495.25</v>
      </c>
      <c r="I30" s="85">
        <f>+AVERAGE(I31:I34)</f>
        <v>9402</v>
      </c>
      <c r="J30" s="85"/>
      <c r="L30" s="76">
        <v>499.40176600000001</v>
      </c>
      <c r="M30" s="85">
        <f>+AVERAGE(M31:M34)</f>
        <v>499.40176600000001</v>
      </c>
      <c r="N30" s="85">
        <f>+AVERAGE(N31:N34)</f>
        <v>499.40176600000001</v>
      </c>
      <c r="O30" s="85">
        <f>+AVERAGE(O31:O34)</f>
        <v>499.40176600000001</v>
      </c>
      <c r="P30" s="85">
        <f>+AVERAGE(P31:P34)</f>
        <v>499.40176600000001</v>
      </c>
      <c r="Q30" s="85"/>
      <c r="S30" s="85">
        <f>+AVERAGE(S31:S34)</f>
        <v>-2506.75</v>
      </c>
      <c r="T30" s="85">
        <f>+AVERAGE(T31:T34)</f>
        <v>240.25</v>
      </c>
      <c r="U30" s="85">
        <f>+AVERAGE(U31:U34)</f>
        <v>1371.5</v>
      </c>
      <c r="V30" s="85">
        <f>+AVERAGE(V31:V34)</f>
        <v>947.66666666666663</v>
      </c>
      <c r="W30" s="85"/>
      <c r="AE30" s="85">
        <f>+AVERAGE(AE31:AE34)</f>
        <v>488.45</v>
      </c>
      <c r="AF30" s="85">
        <f>+AVERAGE(AF31:AF34)</f>
        <v>736.17499999999995</v>
      </c>
      <c r="AG30" s="85">
        <f>+AVERAGE(AG31:AG34)-250</f>
        <v>874.5</v>
      </c>
      <c r="AH30" s="85">
        <f>+AVERAGE(AH31:AH34)-300</f>
        <v>1021.3999999999999</v>
      </c>
      <c r="AI30" s="85"/>
      <c r="AK30" s="85">
        <f>+AVERAGE(AK31:AK34)</f>
        <v>361.5</v>
      </c>
      <c r="AL30" s="85">
        <f>+AVERAGE(AL31:AL34)</f>
        <v>570.5</v>
      </c>
      <c r="AM30" s="85">
        <f>+AVERAGE(AM31:AM34)-250</f>
        <v>666.25</v>
      </c>
      <c r="AN30" s="85">
        <f>+AVERAGE(AN31:AN34)-300</f>
        <v>764.66666666666674</v>
      </c>
      <c r="AO30" s="85"/>
      <c r="AQ30" s="85">
        <f>+AVERAGE(AQ31:AQ34)</f>
        <v>440.25</v>
      </c>
      <c r="AR30" s="85">
        <f>+AVERAGE(AR31:AR34)</f>
        <v>558.25</v>
      </c>
      <c r="AS30" s="85">
        <f>+AVERAGE(AS31:AS34)-185</f>
        <v>620.25</v>
      </c>
      <c r="AT30" s="85">
        <f>+AVERAGE(AT31:AT34)-250</f>
        <v>693</v>
      </c>
      <c r="AU30" s="85"/>
      <c r="BC30" s="85">
        <f>+AVERAGE(BC31:BC34)</f>
        <v>430.25</v>
      </c>
      <c r="BD30" s="85">
        <f>+AVERAGE(BD31:BD34)</f>
        <v>482.25</v>
      </c>
      <c r="BE30" s="85">
        <f>+AVERAGE(BE31:BE34)-185</f>
        <v>507.25</v>
      </c>
      <c r="BF30" s="85">
        <f>+AVERAGE(BF31:BF34)-250</f>
        <v>550</v>
      </c>
      <c r="BG30" s="85"/>
      <c r="BI30" s="86">
        <f>+AK30/M30</f>
        <v>0.72386608260412122</v>
      </c>
      <c r="BJ30" s="86">
        <f>+AL30/N30</f>
        <v>1.1423668053268359</v>
      </c>
      <c r="BK30" s="86">
        <f>+AM30/O30</f>
        <v>1.3340962034163091</v>
      </c>
      <c r="BL30" s="86">
        <f>+AN30/P30</f>
        <v>1.5311653236457854</v>
      </c>
      <c r="BN30" s="86">
        <f>+AQ30/M30</f>
        <v>0.88155475205107703</v>
      </c>
      <c r="BO30" s="86">
        <f>+AR30/N30</f>
        <v>1.1178374567461982</v>
      </c>
      <c r="BP30" s="86">
        <f>+AS30/O30</f>
        <v>1.2419859965012618</v>
      </c>
      <c r="BQ30" s="86">
        <f>+AT30/P30</f>
        <v>1.3876602911332117</v>
      </c>
      <c r="BS30" s="86"/>
      <c r="BT30" s="86"/>
      <c r="BU30" s="86"/>
      <c r="BV30" s="86"/>
      <c r="BX30" s="86">
        <f>+BC30/M30</f>
        <v>0.8615307940260668</v>
      </c>
      <c r="BY30" s="86">
        <f>+BD30/N30</f>
        <v>0.96565537575612015</v>
      </c>
      <c r="BZ30" s="86">
        <f>+BE30/O30</f>
        <v>1.0157152708186459</v>
      </c>
      <c r="CA30" s="86">
        <f>+BF30/P30</f>
        <v>1.1013176913755647</v>
      </c>
      <c r="CC30" s="86">
        <f>+F30/M30</f>
        <v>19.557399803027529</v>
      </c>
      <c r="CD30" s="86">
        <f>+G30/N30</f>
        <v>19.267553010615504</v>
      </c>
      <c r="CE30" s="86">
        <f>+H30/O30</f>
        <v>19.013248743697876</v>
      </c>
      <c r="CF30" s="86">
        <f>+I30/P30</f>
        <v>18.826525335114653</v>
      </c>
    </row>
    <row r="31" spans="1:86">
      <c r="B31" s="72" t="s">
        <v>80</v>
      </c>
      <c r="C31" s="73">
        <v>42116</v>
      </c>
      <c r="E31" s="75"/>
      <c r="F31" s="76">
        <v>9767</v>
      </c>
      <c r="G31" s="76">
        <v>9553</v>
      </c>
      <c r="H31" s="76">
        <v>9301</v>
      </c>
      <c r="I31" s="76">
        <v>9193</v>
      </c>
      <c r="J31" s="76"/>
      <c r="K31" s="75"/>
      <c r="L31" s="76"/>
      <c r="M31" s="76">
        <v>499.40176600000001</v>
      </c>
      <c r="N31" s="76">
        <v>499.40176600000001</v>
      </c>
      <c r="O31" s="76">
        <v>499.40176600000001</v>
      </c>
      <c r="P31" s="76">
        <v>499.40176600000001</v>
      </c>
      <c r="Q31" s="76"/>
      <c r="R31" s="75"/>
      <c r="S31" s="76">
        <v>-2092</v>
      </c>
      <c r="T31" s="76">
        <v>48</v>
      </c>
      <c r="U31" s="76">
        <v>1310</v>
      </c>
      <c r="V31" s="76">
        <v>1322</v>
      </c>
      <c r="W31" s="76"/>
      <c r="X31" s="75"/>
      <c r="Y31" s="76"/>
      <c r="Z31" s="76"/>
      <c r="AA31" s="76"/>
      <c r="AB31" s="76"/>
      <c r="AC31" s="76"/>
      <c r="AD31" s="75"/>
      <c r="AE31" s="102">
        <f t="shared" ref="AE31:AH32" si="6">+AK31*1.3</f>
        <v>482.3</v>
      </c>
      <c r="AF31" s="102">
        <f t="shared" si="6"/>
        <v>756.6</v>
      </c>
      <c r="AG31" s="102">
        <f t="shared" si="6"/>
        <v>1112.8</v>
      </c>
      <c r="AH31" s="102">
        <f t="shared" si="6"/>
        <v>1414.4</v>
      </c>
      <c r="AI31" s="102"/>
      <c r="AJ31" s="75"/>
      <c r="AK31" s="76">
        <v>371</v>
      </c>
      <c r="AL31" s="76">
        <v>582</v>
      </c>
      <c r="AM31" s="76">
        <v>856</v>
      </c>
      <c r="AN31" s="76">
        <v>1088</v>
      </c>
      <c r="AO31" s="76"/>
      <c r="AP31" s="79"/>
      <c r="AQ31" s="76">
        <v>418</v>
      </c>
      <c r="AR31" s="76">
        <v>574</v>
      </c>
      <c r="AS31" s="76">
        <v>747</v>
      </c>
      <c r="AT31" s="76">
        <v>996</v>
      </c>
      <c r="AU31" s="76"/>
      <c r="AV31" s="79"/>
      <c r="BB31" s="75"/>
      <c r="BC31" s="76">
        <v>424</v>
      </c>
      <c r="BD31" s="76">
        <v>545</v>
      </c>
      <c r="BE31" s="76">
        <v>710</v>
      </c>
      <c r="BF31" s="76">
        <v>846</v>
      </c>
      <c r="BG31" s="76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</row>
    <row r="32" spans="1:86">
      <c r="B32" s="72" t="s">
        <v>81</v>
      </c>
      <c r="C32" s="73">
        <v>42116</v>
      </c>
      <c r="E32" s="75"/>
      <c r="F32" s="76">
        <v>9767</v>
      </c>
      <c r="G32" s="76">
        <v>9588</v>
      </c>
      <c r="H32" s="76">
        <v>9599</v>
      </c>
      <c r="I32" s="76">
        <v>9595</v>
      </c>
      <c r="J32" s="76"/>
      <c r="K32" s="75"/>
      <c r="L32" s="76"/>
      <c r="M32" s="76">
        <v>499.40176600000001</v>
      </c>
      <c r="N32" s="76">
        <v>499.40176600000001</v>
      </c>
      <c r="O32" s="76">
        <v>499.40176600000001</v>
      </c>
      <c r="P32" s="76">
        <v>499.40176600000001</v>
      </c>
      <c r="Q32" s="76"/>
      <c r="R32" s="75"/>
      <c r="S32" s="76">
        <v>-2484</v>
      </c>
      <c r="T32" s="76">
        <v>-1606</v>
      </c>
      <c r="U32" s="76">
        <v>-995</v>
      </c>
      <c r="V32" s="76">
        <v>-485</v>
      </c>
      <c r="W32" s="76"/>
      <c r="X32" s="75"/>
      <c r="Y32" s="76"/>
      <c r="Z32" s="76"/>
      <c r="AA32" s="76"/>
      <c r="AB32" s="76"/>
      <c r="AC32" s="76"/>
      <c r="AD32" s="75"/>
      <c r="AE32" s="102">
        <f t="shared" si="6"/>
        <v>435.5</v>
      </c>
      <c r="AF32" s="102">
        <f t="shared" si="6"/>
        <v>750.1</v>
      </c>
      <c r="AG32" s="102">
        <f t="shared" si="6"/>
        <v>1097.2</v>
      </c>
      <c r="AH32" s="102">
        <f t="shared" si="6"/>
        <v>1346.8</v>
      </c>
      <c r="AI32" s="102"/>
      <c r="AJ32" s="75"/>
      <c r="AK32" s="76">
        <v>335</v>
      </c>
      <c r="AL32" s="76">
        <v>577</v>
      </c>
      <c r="AM32" s="76">
        <v>844</v>
      </c>
      <c r="AN32" s="76">
        <v>1036</v>
      </c>
      <c r="AO32" s="76"/>
      <c r="AP32" s="75"/>
      <c r="AQ32" s="76">
        <f>220+163</f>
        <v>383</v>
      </c>
      <c r="AR32" s="76">
        <f>323+222</f>
        <v>545</v>
      </c>
      <c r="AS32" s="76">
        <f>471+280</f>
        <v>751</v>
      </c>
      <c r="AT32" s="76">
        <f>564+329</f>
        <v>893</v>
      </c>
      <c r="AU32" s="76"/>
      <c r="AV32" s="75" t="s">
        <v>98</v>
      </c>
      <c r="BB32" s="75"/>
      <c r="BC32" s="76">
        <v>418</v>
      </c>
      <c r="BD32" s="76">
        <v>467</v>
      </c>
      <c r="BE32" s="76">
        <v>646</v>
      </c>
      <c r="BF32" s="76">
        <v>778</v>
      </c>
      <c r="BG32" s="76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</row>
    <row r="33" spans="1:86">
      <c r="B33" s="72" t="s">
        <v>91</v>
      </c>
      <c r="C33" s="73">
        <v>42054</v>
      </c>
      <c r="E33" s="75"/>
      <c r="F33" s="76">
        <v>9767</v>
      </c>
      <c r="G33" s="76">
        <v>9622</v>
      </c>
      <c r="H33" s="76">
        <v>9510</v>
      </c>
      <c r="I33" s="76">
        <v>9418</v>
      </c>
      <c r="J33" s="76"/>
      <c r="K33" s="75"/>
      <c r="L33" s="76"/>
      <c r="M33" s="76">
        <v>499.40176600000001</v>
      </c>
      <c r="N33" s="76">
        <v>499.40176600000001</v>
      </c>
      <c r="O33" s="76">
        <v>499.40176600000001</v>
      </c>
      <c r="P33" s="76">
        <v>499.40176600000001</v>
      </c>
      <c r="Q33" s="76"/>
      <c r="R33" s="75"/>
      <c r="S33" s="76">
        <v>-2543</v>
      </c>
      <c r="T33" s="76">
        <v>1877</v>
      </c>
      <c r="U33" s="76">
        <v>2006</v>
      </c>
      <c r="V33" s="76">
        <v>2006</v>
      </c>
      <c r="W33" s="76"/>
      <c r="X33" s="75"/>
      <c r="Y33" s="76"/>
      <c r="Z33" s="76"/>
      <c r="AA33" s="76"/>
      <c r="AB33" s="76"/>
      <c r="AC33" s="76"/>
      <c r="AD33" s="75"/>
      <c r="AE33" s="76">
        <v>498</v>
      </c>
      <c r="AF33" s="76">
        <v>635</v>
      </c>
      <c r="AG33" s="76">
        <v>1068</v>
      </c>
      <c r="AH33" s="76">
        <v>1203</v>
      </c>
      <c r="AI33" s="76"/>
      <c r="AJ33" s="75"/>
      <c r="AK33" s="76">
        <v>364</v>
      </c>
      <c r="AL33" s="76">
        <v>503</v>
      </c>
      <c r="AM33" s="76">
        <v>936</v>
      </c>
      <c r="AN33" s="76">
        <v>1070</v>
      </c>
      <c r="AO33" s="76"/>
      <c r="AP33" s="75"/>
      <c r="AQ33" s="76">
        <v>446</v>
      </c>
      <c r="AR33" s="76">
        <v>414</v>
      </c>
      <c r="AS33" s="76">
        <v>814</v>
      </c>
      <c r="AT33" s="76">
        <v>940</v>
      </c>
      <c r="AU33" s="76"/>
      <c r="AV33" s="75"/>
      <c r="BB33" s="75"/>
      <c r="BC33" s="76">
        <v>440</v>
      </c>
      <c r="BD33" s="76">
        <v>327</v>
      </c>
      <c r="BE33" s="76">
        <v>668</v>
      </c>
      <c r="BF33" s="76">
        <v>776</v>
      </c>
      <c r="BG33" s="76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</row>
    <row r="34" spans="1:86">
      <c r="B34" s="72" t="s">
        <v>94</v>
      </c>
      <c r="C34" s="73">
        <v>42041</v>
      </c>
      <c r="E34" s="75"/>
      <c r="F34" s="76">
        <v>9767</v>
      </c>
      <c r="G34" s="76">
        <v>9726</v>
      </c>
      <c r="H34" s="76">
        <v>9571</v>
      </c>
      <c r="I34" s="76"/>
      <c r="J34" s="76"/>
      <c r="K34" s="75"/>
      <c r="L34" s="76"/>
      <c r="M34" s="76"/>
      <c r="N34" s="76"/>
      <c r="O34" s="76"/>
      <c r="P34" s="76"/>
      <c r="Q34" s="76"/>
      <c r="R34" s="75"/>
      <c r="S34" s="76">
        <v>-2908</v>
      </c>
      <c r="T34" s="76">
        <v>642</v>
      </c>
      <c r="U34" s="76">
        <v>3165</v>
      </c>
      <c r="V34" s="76"/>
      <c r="W34" s="76"/>
      <c r="X34" s="75"/>
      <c r="Y34" s="76"/>
      <c r="Z34" s="76"/>
      <c r="AA34" s="76"/>
      <c r="AB34" s="76"/>
      <c r="AC34" s="76"/>
      <c r="AD34" s="75"/>
      <c r="AE34" s="76">
        <v>538</v>
      </c>
      <c r="AF34" s="76">
        <v>803</v>
      </c>
      <c r="AG34" s="76">
        <v>1220</v>
      </c>
      <c r="AH34" s="76"/>
      <c r="AI34" s="76"/>
      <c r="AJ34" s="75"/>
      <c r="AK34" s="76">
        <v>376</v>
      </c>
      <c r="AL34" s="76">
        <v>620</v>
      </c>
      <c r="AM34" s="76">
        <v>1029</v>
      </c>
      <c r="AN34" s="76"/>
      <c r="AO34" s="76"/>
      <c r="AP34" s="75"/>
      <c r="AQ34" s="76">
        <f>357+157</f>
        <v>514</v>
      </c>
      <c r="AR34" s="76">
        <f>465+235</f>
        <v>700</v>
      </c>
      <c r="AS34" s="76">
        <f>590+319</f>
        <v>909</v>
      </c>
      <c r="AT34" s="76"/>
      <c r="AU34" s="76"/>
      <c r="AV34" s="75"/>
      <c r="BB34" s="75"/>
      <c r="BC34" s="76">
        <v>439</v>
      </c>
      <c r="BD34" s="76">
        <v>590</v>
      </c>
      <c r="BE34" s="76">
        <v>745</v>
      </c>
      <c r="BF34" s="76"/>
      <c r="BG34" s="76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</row>
    <row r="35" spans="1:86">
      <c r="B35" s="72"/>
      <c r="C35" s="73"/>
      <c r="E35" s="75"/>
      <c r="F35" s="76"/>
      <c r="G35" s="76"/>
      <c r="H35" s="76"/>
      <c r="I35" s="76"/>
      <c r="J35" s="76"/>
      <c r="K35" s="75"/>
      <c r="L35" s="76"/>
      <c r="M35" s="76"/>
      <c r="N35" s="76"/>
      <c r="O35" s="76"/>
      <c r="P35" s="76"/>
      <c r="Q35" s="76"/>
      <c r="R35" s="75"/>
      <c r="S35" s="76"/>
      <c r="T35" s="76"/>
      <c r="U35" s="76"/>
      <c r="V35" s="76"/>
      <c r="W35" s="76"/>
      <c r="X35" s="75"/>
      <c r="Y35" s="76"/>
      <c r="Z35" s="76"/>
      <c r="AA35" s="76"/>
      <c r="AB35" s="76"/>
      <c r="AC35" s="76"/>
      <c r="AD35" s="75"/>
      <c r="AE35" s="76"/>
      <c r="AF35" s="76"/>
      <c r="AG35" s="76"/>
      <c r="AH35" s="76"/>
      <c r="AI35" s="76"/>
      <c r="AJ35" s="75"/>
      <c r="AK35" s="76"/>
      <c r="AL35" s="76"/>
      <c r="AM35" s="76"/>
      <c r="AN35" s="76"/>
      <c r="AO35" s="76"/>
      <c r="AP35" s="75"/>
      <c r="AQ35" s="76"/>
      <c r="AR35" s="76"/>
      <c r="AS35" s="76"/>
      <c r="AT35" s="76"/>
      <c r="AU35" s="76"/>
      <c r="AV35" s="75"/>
      <c r="BB35" s="75"/>
      <c r="BC35" s="76"/>
      <c r="BD35" s="76"/>
      <c r="BE35" s="76"/>
      <c r="BF35" s="76"/>
      <c r="BG35" s="76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</row>
    <row r="36" spans="1:86">
      <c r="A36" s="59" t="s">
        <v>7</v>
      </c>
      <c r="B36" s="72"/>
      <c r="C36" s="73"/>
      <c r="E36" s="76">
        <v>7114.5479999999998</v>
      </c>
      <c r="F36" s="85">
        <f>+AVERAGE(F37:F39)</f>
        <v>7189</v>
      </c>
      <c r="G36" s="85">
        <f>+AVERAGE(G37:G39)</f>
        <v>7284</v>
      </c>
      <c r="H36" s="85">
        <f>+AVERAGE(H37:H39)</f>
        <v>7252</v>
      </c>
      <c r="I36" s="85">
        <f>+AVERAGE(I37:I39)</f>
        <v>7071</v>
      </c>
      <c r="J36" s="85"/>
      <c r="K36" s="75"/>
      <c r="L36" s="76">
        <v>437.019542</v>
      </c>
      <c r="M36" s="76">
        <f>+((10.6/12)*258.334218)+((1.4/12)*437.019542)</f>
        <v>279.18083913333334</v>
      </c>
      <c r="N36" s="85">
        <f>+AVERAGE(N37:N40)</f>
        <v>437.019542</v>
      </c>
      <c r="O36" s="85">
        <f>+AVERAGE(O37:O40)</f>
        <v>437.019542</v>
      </c>
      <c r="P36" s="85">
        <f>+AVERAGE(P37:P40)</f>
        <v>437.019542</v>
      </c>
      <c r="Q36" s="85"/>
      <c r="R36" s="75"/>
      <c r="S36" s="85">
        <f>+AVERAGE(S37:S40)</f>
        <v>-1069.6666666666667</v>
      </c>
      <c r="T36" s="85">
        <f>+AVERAGE(T37:T40)</f>
        <v>716</v>
      </c>
      <c r="U36" s="85">
        <f>+AVERAGE(U37:U40)</f>
        <v>2099</v>
      </c>
      <c r="V36" s="85">
        <f>+AVERAGE(V37:V40)</f>
        <v>2110</v>
      </c>
      <c r="W36" s="85"/>
      <c r="X36" s="75"/>
      <c r="Y36" s="76"/>
      <c r="Z36" s="76"/>
      <c r="AA36" s="76"/>
      <c r="AB36" s="76"/>
      <c r="AC36" s="76"/>
      <c r="AD36" s="75"/>
      <c r="AE36" s="85">
        <f>+AVERAGE(AE37:AE40)</f>
        <v>368</v>
      </c>
      <c r="AF36" s="85">
        <f>+AVERAGE(AF37:AF40)</f>
        <v>675</v>
      </c>
      <c r="AG36" s="85">
        <f>+AVERAGE(AG37:AG40)</f>
        <v>1073</v>
      </c>
      <c r="AH36" s="85"/>
      <c r="AI36" s="85"/>
      <c r="AJ36" s="75"/>
      <c r="AK36" s="85">
        <f>+AVERAGE(AK37:AK40)</f>
        <v>249.33333333333334</v>
      </c>
      <c r="AL36" s="85">
        <f>+AVERAGE(AL37:AL40)</f>
        <v>426.66666666666669</v>
      </c>
      <c r="AM36" s="85">
        <f>+AVERAGE(AM37:AM40)</f>
        <v>643.33333333333337</v>
      </c>
      <c r="AN36" s="85">
        <f>+AVERAGE(AN37:AN40)</f>
        <v>744</v>
      </c>
      <c r="AO36" s="85"/>
      <c r="AP36" s="75"/>
      <c r="AQ36" s="85">
        <f>+AVERAGE(AQ37:AQ40)</f>
        <v>223.33333333333334</v>
      </c>
      <c r="AR36" s="85">
        <f>+AVERAGE(AR37:AR40)</f>
        <v>336.66666666666669</v>
      </c>
      <c r="AS36" s="85">
        <f>+AVERAGE(AS37:AS40)</f>
        <v>494.33333333333331</v>
      </c>
      <c r="AT36" s="85">
        <f>+AVERAGE(AT37:AT40)</f>
        <v>591.5</v>
      </c>
      <c r="AU36" s="85"/>
      <c r="AV36" s="75"/>
      <c r="BB36" s="75"/>
      <c r="BC36" s="85">
        <f>+AVERAGE(BC37:BC40)</f>
        <v>223</v>
      </c>
      <c r="BD36" s="85">
        <f>+AVERAGE(BD37:BD40)</f>
        <v>347.33333333333331</v>
      </c>
      <c r="BE36" s="85">
        <f>+AVERAGE(BE37:BE40)</f>
        <v>460</v>
      </c>
      <c r="BF36" s="85">
        <f>+AVERAGE(BF37:BF40)</f>
        <v>568</v>
      </c>
      <c r="BG36" s="85"/>
      <c r="BH36" s="75"/>
      <c r="BI36" s="86">
        <f>+AK36/M36</f>
        <v>0.89308898886952193</v>
      </c>
      <c r="BJ36" s="86">
        <f>+AL36/N36</f>
        <v>0.9763102691336093</v>
      </c>
      <c r="BK36" s="86">
        <f>+AM36/O36</f>
        <v>1.4720928276780203</v>
      </c>
      <c r="BL36" s="86">
        <f>+AN36/P36</f>
        <v>1.7024410318017311</v>
      </c>
      <c r="BN36" s="86">
        <f>+AQ36/M36</f>
        <v>0.79995938842590875</v>
      </c>
      <c r="BO36" s="86">
        <f>+AR36/N36</f>
        <v>0.77036982173823865</v>
      </c>
      <c r="BP36" s="86">
        <f>+AS36/O36</f>
        <v>1.1311469758790176</v>
      </c>
      <c r="BQ36" s="86">
        <f>+AT36/P36</f>
        <v>1.353486384826242</v>
      </c>
      <c r="BR36" s="75"/>
      <c r="BS36" s="75"/>
      <c r="BT36" s="75"/>
      <c r="BU36" s="75"/>
      <c r="BV36" s="75"/>
      <c r="BW36" s="75"/>
      <c r="BX36" s="86">
        <f>+BC36/M36</f>
        <v>0.7987654191894521</v>
      </c>
      <c r="BY36" s="86">
        <f>+BD36/N36</f>
        <v>0.79477757846657882</v>
      </c>
      <c r="BZ36" s="86">
        <f>+BE36/O36</f>
        <v>1.0525845089096726</v>
      </c>
      <c r="CA36" s="86">
        <f>+BF36/P36</f>
        <v>1.2997130457841173</v>
      </c>
      <c r="CB36" s="75"/>
      <c r="CC36" s="86">
        <f>+F36/M36</f>
        <v>25.750334522659063</v>
      </c>
      <c r="CD36" s="86">
        <f>+G36/N36</f>
        <v>16.667446875865338</v>
      </c>
      <c r="CE36" s="86">
        <f>+H36/O36</f>
        <v>16.594223605680316</v>
      </c>
      <c r="CF36" s="86">
        <f>+I36/P36</f>
        <v>16.180054483696292</v>
      </c>
      <c r="CG36" s="75"/>
      <c r="CH36" s="75"/>
    </row>
    <row r="37" spans="1:86">
      <c r="B37" s="72" t="s">
        <v>81</v>
      </c>
      <c r="C37" s="73">
        <v>42115</v>
      </c>
      <c r="E37" s="75"/>
      <c r="F37" s="76">
        <v>7189</v>
      </c>
      <c r="G37" s="76">
        <v>7234</v>
      </c>
      <c r="H37" s="76">
        <v>7252</v>
      </c>
      <c r="I37" s="76">
        <v>7270</v>
      </c>
      <c r="J37" s="76"/>
      <c r="K37" s="75"/>
      <c r="L37" s="76"/>
      <c r="M37" s="76"/>
      <c r="N37" s="76">
        <v>437.019542</v>
      </c>
      <c r="O37" s="76">
        <v>437.019542</v>
      </c>
      <c r="P37" s="76">
        <v>437.019542</v>
      </c>
      <c r="Q37" s="76"/>
      <c r="R37" s="75"/>
      <c r="S37" s="76">
        <v>-1109</v>
      </c>
      <c r="T37" s="76">
        <v>21</v>
      </c>
      <c r="U37" s="76">
        <v>1335</v>
      </c>
      <c r="V37" s="76">
        <v>1430</v>
      </c>
      <c r="W37" s="76"/>
      <c r="X37" s="75"/>
      <c r="Y37" s="76"/>
      <c r="Z37" s="76"/>
      <c r="AA37" s="76"/>
      <c r="AB37" s="76"/>
      <c r="AC37" s="76"/>
      <c r="AD37" s="75"/>
      <c r="AE37" s="76"/>
      <c r="AF37" s="76"/>
      <c r="AG37" s="76"/>
      <c r="AH37" s="76"/>
      <c r="AI37" s="76"/>
      <c r="AJ37" s="75"/>
      <c r="AK37" s="76">
        <v>204</v>
      </c>
      <c r="AL37" s="76">
        <v>364</v>
      </c>
      <c r="AM37" s="76">
        <v>548</v>
      </c>
      <c r="AN37" s="76">
        <v>660</v>
      </c>
      <c r="AO37" s="76"/>
      <c r="AP37" s="75"/>
      <c r="AQ37" s="76">
        <f>66+108</f>
        <v>174</v>
      </c>
      <c r="AR37" s="76">
        <f>99+151</f>
        <v>250</v>
      </c>
      <c r="AS37" s="76">
        <f>241+200</f>
        <v>441</v>
      </c>
      <c r="AT37" s="76">
        <f>299+225</f>
        <v>524</v>
      </c>
      <c r="AU37" s="76"/>
      <c r="AV37" s="75" t="s">
        <v>98</v>
      </c>
      <c r="BB37" s="75"/>
      <c r="BC37" s="76">
        <v>224</v>
      </c>
      <c r="BD37" s="76">
        <v>344</v>
      </c>
      <c r="BE37" s="76">
        <v>475</v>
      </c>
      <c r="BF37" s="76">
        <v>553</v>
      </c>
      <c r="BG37" s="76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</row>
    <row r="38" spans="1:86">
      <c r="A38" s="59"/>
      <c r="B38" s="72" t="s">
        <v>91</v>
      </c>
      <c r="C38" s="73">
        <v>42061</v>
      </c>
      <c r="E38" s="75"/>
      <c r="F38" s="76">
        <v>7189</v>
      </c>
      <c r="G38" s="76">
        <v>7190</v>
      </c>
      <c r="H38" s="76">
        <v>7027</v>
      </c>
      <c r="I38" s="76">
        <v>6872</v>
      </c>
      <c r="J38" s="76"/>
      <c r="K38" s="75"/>
      <c r="L38" s="76"/>
      <c r="M38" s="76"/>
      <c r="N38" s="76">
        <v>437.019542</v>
      </c>
      <c r="O38" s="76">
        <v>437.019542</v>
      </c>
      <c r="P38" s="76">
        <v>437.019542</v>
      </c>
      <c r="Q38" s="76"/>
      <c r="R38" s="75"/>
      <c r="S38" s="76">
        <v>-1274</v>
      </c>
      <c r="T38" s="76">
        <v>1607</v>
      </c>
      <c r="U38" s="76">
        <v>2792</v>
      </c>
      <c r="V38" s="76">
        <v>2790</v>
      </c>
      <c r="W38" s="76"/>
      <c r="X38" s="75"/>
      <c r="Y38" s="76"/>
      <c r="Z38" s="76"/>
      <c r="AA38" s="76"/>
      <c r="AB38" s="76"/>
      <c r="AC38" s="76"/>
      <c r="AD38" s="75"/>
      <c r="AE38" s="76"/>
      <c r="AF38" s="76"/>
      <c r="AG38" s="76"/>
      <c r="AH38" s="76"/>
      <c r="AI38" s="76"/>
      <c r="AJ38" s="75"/>
      <c r="AK38" s="76">
        <v>268</v>
      </c>
      <c r="AL38" s="76">
        <v>412</v>
      </c>
      <c r="AM38" s="76">
        <v>568</v>
      </c>
      <c r="AN38" s="76">
        <v>828</v>
      </c>
      <c r="AO38" s="76"/>
      <c r="AP38" s="79"/>
      <c r="AQ38" s="76">
        <v>240</v>
      </c>
      <c r="AR38" s="76">
        <v>345</v>
      </c>
      <c r="AS38" s="76">
        <v>421</v>
      </c>
      <c r="AT38" s="76">
        <v>659</v>
      </c>
      <c r="AU38" s="76"/>
      <c r="AV38" s="79"/>
      <c r="BB38" s="75"/>
      <c r="BC38" s="76">
        <v>218</v>
      </c>
      <c r="BD38" s="76">
        <v>304</v>
      </c>
      <c r="BE38" s="76">
        <v>366</v>
      </c>
      <c r="BF38" s="76">
        <v>583</v>
      </c>
      <c r="BG38" s="76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</row>
    <row r="39" spans="1:86">
      <c r="A39" s="59"/>
      <c r="B39" s="72" t="s">
        <v>94</v>
      </c>
      <c r="C39" s="73">
        <v>42041</v>
      </c>
      <c r="E39" s="75"/>
      <c r="F39" s="76">
        <v>7189</v>
      </c>
      <c r="G39" s="76">
        <v>7428</v>
      </c>
      <c r="H39" s="76">
        <v>7477</v>
      </c>
      <c r="I39" s="76"/>
      <c r="J39" s="76"/>
      <c r="K39" s="75"/>
      <c r="L39" s="76"/>
      <c r="M39" s="76"/>
      <c r="N39" s="76"/>
      <c r="O39" s="76"/>
      <c r="P39" s="76"/>
      <c r="Q39" s="76"/>
      <c r="R39" s="75"/>
      <c r="S39" s="76">
        <v>-826</v>
      </c>
      <c r="T39" s="76">
        <v>520</v>
      </c>
      <c r="U39" s="76">
        <v>2170</v>
      </c>
      <c r="V39" s="76"/>
      <c r="W39" s="76"/>
      <c r="X39" s="75"/>
      <c r="Y39" s="91"/>
      <c r="Z39" s="91"/>
      <c r="AA39" s="76"/>
      <c r="AB39" s="76"/>
      <c r="AC39" s="76"/>
      <c r="AD39" s="75"/>
      <c r="AE39" s="76">
        <v>368</v>
      </c>
      <c r="AF39" s="76">
        <v>675</v>
      </c>
      <c r="AG39" s="76">
        <v>1073</v>
      </c>
      <c r="AH39" s="76"/>
      <c r="AI39" s="76"/>
      <c r="AJ39" s="75"/>
      <c r="AK39" s="76">
        <v>276</v>
      </c>
      <c r="AL39" s="76">
        <v>504</v>
      </c>
      <c r="AM39" s="76">
        <v>814</v>
      </c>
      <c r="AN39" s="76"/>
      <c r="AO39" s="76"/>
      <c r="AP39" s="75"/>
      <c r="AQ39" s="76">
        <f>214+42</f>
        <v>256</v>
      </c>
      <c r="AR39" s="76">
        <f>339+76</f>
        <v>415</v>
      </c>
      <c r="AS39" s="76">
        <f>498+123</f>
        <v>621</v>
      </c>
      <c r="AT39" s="76"/>
      <c r="AU39" s="76"/>
      <c r="AV39" s="75"/>
      <c r="BB39" s="75"/>
      <c r="BC39" s="76">
        <v>227</v>
      </c>
      <c r="BD39" s="76">
        <v>394</v>
      </c>
      <c r="BE39" s="76">
        <v>539</v>
      </c>
      <c r="BF39" s="76"/>
      <c r="BG39" s="76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</row>
    <row r="41" spans="1:86">
      <c r="A41" s="59" t="s">
        <v>30</v>
      </c>
    </row>
    <row r="42" spans="1:86">
      <c r="A42" s="77">
        <v>16</v>
      </c>
      <c r="B42" s="72" t="s">
        <v>99</v>
      </c>
      <c r="C42" s="73">
        <v>42025</v>
      </c>
      <c r="E42" s="76">
        <v>3582.567</v>
      </c>
      <c r="F42" s="76">
        <f>251.3*$A$42</f>
        <v>4020.8</v>
      </c>
      <c r="G42" s="76">
        <f>256.9*A42</f>
        <v>4110.3999999999996</v>
      </c>
      <c r="H42" s="76">
        <f>260.5*A42</f>
        <v>4168</v>
      </c>
      <c r="I42" s="76">
        <f>263.5*A42</f>
        <v>4216</v>
      </c>
      <c r="J42" s="76"/>
      <c r="K42" s="76"/>
      <c r="L42" s="76">
        <v>303.09199999999998</v>
      </c>
      <c r="M42" s="76">
        <v>296.29399999999998</v>
      </c>
      <c r="N42" s="76">
        <f>+((0.25)*296.294)+((0.75)*303.092)</f>
        <v>301.39249999999998</v>
      </c>
      <c r="O42" s="76">
        <v>303.09199999999998</v>
      </c>
      <c r="P42" s="76">
        <v>303.09199999999998</v>
      </c>
      <c r="Q42" s="76"/>
      <c r="R42" s="75"/>
      <c r="S42" s="76"/>
      <c r="T42" s="76">
        <f>121.2*A42</f>
        <v>1939.2</v>
      </c>
      <c r="U42" s="76">
        <f>113.9*A42</f>
        <v>1822.4</v>
      </c>
      <c r="V42" s="76">
        <f>113.8*A42</f>
        <v>1820.8</v>
      </c>
      <c r="W42" s="76"/>
      <c r="X42" s="75"/>
      <c r="Y42" s="76"/>
      <c r="Z42" s="76"/>
      <c r="AA42" s="76"/>
      <c r="AB42" s="76"/>
      <c r="AC42" s="76"/>
      <c r="AD42" s="75"/>
      <c r="AE42" s="76"/>
      <c r="AF42" s="76">
        <f>24.2*A42</f>
        <v>387.2</v>
      </c>
      <c r="AG42" s="76">
        <f>31.3*A42</f>
        <v>500.8</v>
      </c>
      <c r="AH42" s="76">
        <f>31.9*A42</f>
        <v>510.4</v>
      </c>
      <c r="AI42" s="76"/>
      <c r="AJ42" s="75"/>
      <c r="AK42" s="76"/>
      <c r="AL42" s="76">
        <f>20.9*A42</f>
        <v>334.4</v>
      </c>
      <c r="AM42" s="76">
        <f>28*A42</f>
        <v>448</v>
      </c>
      <c r="AN42" s="76">
        <f>28.6*A42</f>
        <v>457.6</v>
      </c>
      <c r="AO42" s="76"/>
      <c r="AP42" s="75"/>
      <c r="AQ42" s="76"/>
      <c r="AR42" s="76">
        <f>17.8*A42</f>
        <v>284.8</v>
      </c>
      <c r="AS42" s="76">
        <v>400</v>
      </c>
      <c r="AT42" s="76">
        <v>484</v>
      </c>
      <c r="AU42" s="76"/>
      <c r="AV42" s="75"/>
      <c r="BB42" s="75"/>
      <c r="BC42" s="76"/>
      <c r="BD42" s="76">
        <f>6.8*A42</f>
        <v>108.8</v>
      </c>
      <c r="BE42" s="76">
        <f>+AS42*0.95</f>
        <v>380</v>
      </c>
      <c r="BF42" s="76">
        <f>+AT42*0.95</f>
        <v>459.79999999999995</v>
      </c>
      <c r="BG42" s="76"/>
      <c r="BH42" s="75"/>
      <c r="BI42" s="86">
        <f>+AK42/M42</f>
        <v>0</v>
      </c>
      <c r="BJ42" s="86">
        <f>+AL42/N42</f>
        <v>1.1095166601690487</v>
      </c>
      <c r="BK42" s="86">
        <f>+AM42/O42</f>
        <v>1.4780990590315812</v>
      </c>
      <c r="BL42" s="86">
        <f>+AN42/P42</f>
        <v>1.5097726102965439</v>
      </c>
      <c r="BN42" s="86">
        <f>+AQ42/M42</f>
        <v>0</v>
      </c>
      <c r="BO42" s="86">
        <f>+AR42/N42</f>
        <v>0.94494720339756311</v>
      </c>
      <c r="BP42" s="86">
        <f>+AS42/O42</f>
        <v>1.319731302706769</v>
      </c>
      <c r="BQ42" s="86">
        <f>+AT42/P42</f>
        <v>1.5968748762751905</v>
      </c>
      <c r="BR42" s="75"/>
      <c r="BS42" s="75"/>
      <c r="BT42" s="75"/>
      <c r="BU42" s="75"/>
      <c r="BV42" s="75"/>
      <c r="BW42" s="75"/>
      <c r="BX42" s="86">
        <f>+BC42/M42</f>
        <v>0</v>
      </c>
      <c r="BY42" s="86">
        <f>+BD42/N42</f>
        <v>0.36099106646648477</v>
      </c>
      <c r="BZ42" s="86">
        <f>+BE42/O42</f>
        <v>1.2537447375714306</v>
      </c>
      <c r="CA42" s="86">
        <f>+BF42/P42</f>
        <v>1.5170311324614307</v>
      </c>
      <c r="CB42" s="75"/>
      <c r="CC42" s="86">
        <f>+F42/M42</f>
        <v>13.570305169865067</v>
      </c>
      <c r="CD42" s="86">
        <f>+G42/N42</f>
        <v>13.638030143417636</v>
      </c>
      <c r="CE42" s="86">
        <f>+H42/O42</f>
        <v>13.751600174204533</v>
      </c>
      <c r="CF42" s="86">
        <f>+I42/P42</f>
        <v>13.909967930529344</v>
      </c>
      <c r="CG42" s="75"/>
      <c r="CH42" s="75"/>
    </row>
    <row r="45" spans="1:86">
      <c r="M45" s="76"/>
      <c r="N45" s="7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S78"/>
  <sheetViews>
    <sheetView showGridLines="0" tabSelected="1" zoomScale="115" zoomScaleNormal="115" zoomScaleSheetLayoutView="85" workbookViewId="0">
      <pane xSplit="7" ySplit="9" topLeftCell="H10" activePane="bottomRight" state="frozen"/>
      <selection activeCell="C1" sqref="C1"/>
      <selection pane="topRight" activeCell="H1" sqref="H1"/>
      <selection pane="bottomLeft" activeCell="C10" sqref="C10"/>
      <selection pane="bottomRight" activeCell="X17" sqref="X17"/>
    </sheetView>
  </sheetViews>
  <sheetFormatPr defaultColWidth="9.140625" defaultRowHeight="12.75" outlineLevelCol="1"/>
  <cols>
    <col min="1" max="2" width="9.140625" style="5" hidden="1" customWidth="1" outlineLevel="1"/>
    <col min="3" max="3" width="3.140625" style="3" customWidth="1" collapsed="1"/>
    <col min="4" max="4" width="0.85546875" style="3" customWidth="1"/>
    <col min="5" max="5" width="18" style="3" customWidth="1"/>
    <col min="6" max="6" width="8.85546875" style="3" customWidth="1"/>
    <col min="7" max="7" width="7.5703125" style="3" customWidth="1"/>
    <col min="8" max="8" width="8.28515625" style="3" customWidth="1"/>
    <col min="9" max="9" width="0.85546875" style="3" customWidth="1"/>
    <col min="10" max="13" width="5.7109375" style="3" hidden="1" customWidth="1"/>
    <col min="14" max="16" width="5.7109375" style="3" customWidth="1"/>
    <col min="17" max="17" width="0.85546875" style="3" customWidth="1"/>
    <col min="18" max="19" width="5.7109375" style="3" hidden="1" customWidth="1"/>
    <col min="20" max="20" width="5.7109375" style="3" customWidth="1"/>
    <col min="21" max="22" width="5.7109375" style="3" hidden="1" customWidth="1"/>
    <col min="23" max="25" width="5.7109375" style="3" customWidth="1"/>
    <col min="26" max="26" width="0.85546875" style="3" customWidth="1"/>
    <col min="27" max="30" width="5.7109375" style="3" hidden="1" customWidth="1"/>
    <col min="31" max="33" width="5.7109375" style="3" customWidth="1"/>
    <col min="34" max="34" width="0.85546875" style="3" hidden="1" customWidth="1"/>
    <col min="35" max="35" width="5.7109375" style="3" hidden="1" customWidth="1"/>
    <col min="36" max="36" width="0.85546875" style="3" customWidth="1"/>
    <col min="37" max="39" width="5.7109375" style="3" hidden="1" customWidth="1"/>
    <col min="40" max="42" width="5.7109375" style="3" customWidth="1"/>
    <col min="43" max="43" width="0.85546875" style="3" customWidth="1"/>
    <col min="44" max="47" width="5.7109375" style="3" hidden="1" customWidth="1"/>
    <col min="48" max="50" width="5.7109375" style="3" customWidth="1"/>
    <col min="51" max="51" width="0.85546875" style="3" customWidth="1"/>
    <col min="52" max="52" width="7.42578125" style="3" customWidth="1"/>
    <col min="53" max="53" width="6.85546875" style="3" customWidth="1"/>
    <col min="54" max="54" width="0.85546875" style="3" customWidth="1"/>
    <col min="55" max="55" width="1.140625" style="3" customWidth="1"/>
    <col min="56" max="56" width="1.28515625" style="3" customWidth="1"/>
    <col min="57" max="57" width="0.7109375" style="3" customWidth="1"/>
    <col min="58" max="58" width="9.140625" style="3" customWidth="1"/>
    <col min="59" max="59" width="0.7109375" style="3" customWidth="1"/>
    <col min="60" max="60" width="9.140625" style="3" customWidth="1"/>
    <col min="61" max="61" width="0.7109375" style="3" customWidth="1"/>
    <col min="62" max="62" width="9.140625" style="3" customWidth="1"/>
    <col min="63" max="64" width="0.7109375" style="3" customWidth="1"/>
    <col min="65" max="65" width="9.140625" style="3" customWidth="1"/>
    <col min="66" max="66" width="0.7109375" style="3" customWidth="1"/>
    <col min="67" max="67" width="9.140625" style="3" customWidth="1"/>
    <col min="68" max="68" width="0.7109375" style="3" customWidth="1"/>
    <col min="69" max="69" width="9.140625" style="3" customWidth="1"/>
    <col min="70" max="70" width="0.7109375" style="3" customWidth="1"/>
    <col min="71" max="71" width="9.140625" style="3" customWidth="1"/>
    <col min="72" max="72" width="0.7109375" style="3" customWidth="1"/>
    <col min="73" max="73" width="9.140625" style="3" customWidth="1"/>
    <col min="74" max="74" width="0.7109375" style="3" customWidth="1"/>
    <col min="75" max="76" width="9.140625" style="3" customWidth="1"/>
    <col min="77" max="77" width="9.140625" style="3" hidden="1" customWidth="1" outlineLevel="1"/>
    <col min="78" max="85" width="8.7109375" style="3" hidden="1" customWidth="1" outlineLevel="1"/>
    <col min="86" max="86" width="4.7109375" style="3" hidden="1" customWidth="1" outlineLevel="1"/>
    <col min="87" max="94" width="8.7109375" style="3" hidden="1" customWidth="1" outlineLevel="1"/>
    <col min="95" max="95" width="4.7109375" style="3" hidden="1" customWidth="1" outlineLevel="1"/>
    <col min="96" max="103" width="8.7109375" style="3" hidden="1" customWidth="1" outlineLevel="1"/>
    <col min="104" max="104" width="4.7109375" style="3" hidden="1" customWidth="1" outlineLevel="1"/>
    <col min="105" max="111" width="8.7109375" style="3" hidden="1" customWidth="1" outlineLevel="1"/>
    <col min="112" max="112" width="4.7109375" style="3" hidden="1" customWidth="1" outlineLevel="1"/>
    <col min="113" max="113" width="8.7109375" style="3" hidden="1" customWidth="1" outlineLevel="1"/>
    <col min="114" max="119" width="9.7109375" style="3" hidden="1" customWidth="1" outlineLevel="1"/>
    <col min="120" max="120" width="4.7109375" style="3" hidden="1" customWidth="1" outlineLevel="1"/>
    <col min="121" max="127" width="8.7109375" style="3" hidden="1" customWidth="1" outlineLevel="1"/>
    <col min="128" max="128" width="4.7109375" style="3" hidden="1" customWidth="1" outlineLevel="1"/>
    <col min="129" max="135" width="8.7109375" style="3" hidden="1" customWidth="1" outlineLevel="1"/>
    <col min="136" max="136" width="4.7109375" style="3" hidden="1" customWidth="1" outlineLevel="1"/>
    <col min="137" max="143" width="8.7109375" style="3" hidden="1" customWidth="1" outlineLevel="1"/>
    <col min="144" max="144" width="4.7109375" style="3" hidden="1" customWidth="1" outlineLevel="1"/>
    <col min="145" max="151" width="8.7109375" style="3" hidden="1" customWidth="1" outlineLevel="1"/>
    <col min="152" max="152" width="4.7109375" style="3" hidden="1" customWidth="1" outlineLevel="1"/>
    <col min="153" max="154" width="8.7109375" style="3" hidden="1" customWidth="1" outlineLevel="1"/>
    <col min="155" max="159" width="9.140625" style="3" hidden="1" customWidth="1" outlineLevel="1"/>
    <col min="160" max="160" width="4.7109375" style="3" hidden="1" customWidth="1" outlineLevel="1"/>
    <col min="161" max="167" width="9.140625" style="3" hidden="1" customWidth="1" outlineLevel="1"/>
    <col min="168" max="168" width="4.7109375" style="3" hidden="1" customWidth="1" outlineLevel="1"/>
    <col min="169" max="175" width="9.140625" style="3" hidden="1" customWidth="1" outlineLevel="1"/>
    <col min="176" max="177" width="4.7109375" style="3" hidden="1" customWidth="1" outlineLevel="1"/>
    <col min="178" max="184" width="9.140625" style="3" hidden="1" customWidth="1" outlineLevel="1"/>
    <col min="185" max="185" width="4.7109375" style="3" hidden="1" customWidth="1" outlineLevel="1"/>
    <col min="186" max="192" width="9.140625" style="3" hidden="1" customWidth="1" outlineLevel="1"/>
    <col min="193" max="193" width="4.7109375" style="3" hidden="1" customWidth="1" outlineLevel="1"/>
    <col min="194" max="200" width="9.140625" style="3" hidden="1" customWidth="1" outlineLevel="1"/>
    <col min="201" max="201" width="9.140625" style="3" collapsed="1"/>
    <col min="202" max="16384" width="9.140625" style="3"/>
  </cols>
  <sheetData>
    <row r="1" spans="1:200">
      <c r="S1" s="36"/>
      <c r="T1" s="36"/>
      <c r="BX1" s="5" t="s">
        <v>332</v>
      </c>
      <c r="EB1" s="345"/>
      <c r="FT1" s="3" t="s">
        <v>16</v>
      </c>
    </row>
    <row r="2" spans="1:200">
      <c r="F2" s="329"/>
      <c r="EB2" s="365"/>
    </row>
    <row r="3" spans="1:200" ht="13.5"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96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DA3" s="34"/>
      <c r="DB3" s="34"/>
      <c r="DC3" s="34"/>
      <c r="DD3" s="34"/>
      <c r="DE3" s="34"/>
      <c r="DF3" s="34"/>
      <c r="DG3" s="34"/>
      <c r="DH3" s="338"/>
      <c r="EC3" s="366"/>
      <c r="ED3" s="366"/>
    </row>
    <row r="4" spans="1:200">
      <c r="S4" s="36"/>
      <c r="T4" s="36"/>
      <c r="V4" s="397"/>
      <c r="EB4" s="322"/>
    </row>
    <row r="5" spans="1:200">
      <c r="S5" s="36"/>
      <c r="T5" s="36"/>
    </row>
    <row r="6" spans="1:200" ht="48" customHeight="1">
      <c r="D6" s="1"/>
      <c r="E6" s="1"/>
      <c r="F6" s="341" t="s">
        <v>0</v>
      </c>
      <c r="G6" s="341" t="s">
        <v>13</v>
      </c>
      <c r="H6" s="342" t="s">
        <v>1</v>
      </c>
      <c r="I6" s="94"/>
      <c r="J6" s="43"/>
      <c r="K6" s="405" t="s">
        <v>104</v>
      </c>
      <c r="L6" s="405"/>
      <c r="M6" s="405"/>
      <c r="N6" s="405"/>
      <c r="O6" s="405"/>
      <c r="P6" s="405"/>
      <c r="Q6" s="92"/>
      <c r="R6" s="339"/>
      <c r="S6" s="405" t="s">
        <v>2</v>
      </c>
      <c r="T6" s="405"/>
      <c r="U6" s="405"/>
      <c r="V6" s="405"/>
      <c r="W6" s="405"/>
      <c r="X6" s="405"/>
      <c r="Y6" s="405"/>
      <c r="Z6" s="340"/>
      <c r="AA6" s="339"/>
      <c r="AB6" s="405" t="s">
        <v>47</v>
      </c>
      <c r="AC6" s="405"/>
      <c r="AD6" s="405"/>
      <c r="AE6" s="405"/>
      <c r="AF6" s="405"/>
      <c r="AG6" s="405"/>
      <c r="AH6" s="340"/>
      <c r="AI6" s="339"/>
      <c r="AJ6" s="340"/>
      <c r="AK6" s="405" t="s">
        <v>41</v>
      </c>
      <c r="AL6" s="405"/>
      <c r="AM6" s="405"/>
      <c r="AN6" s="405"/>
      <c r="AO6" s="405"/>
      <c r="AP6" s="405"/>
      <c r="AQ6" s="340"/>
      <c r="AR6" s="339"/>
      <c r="AS6" s="405" t="s">
        <v>105</v>
      </c>
      <c r="AT6" s="405"/>
      <c r="AU6" s="405"/>
      <c r="AV6" s="405"/>
      <c r="AW6" s="405"/>
      <c r="AX6" s="405"/>
      <c r="AY6" s="96"/>
      <c r="AZ6" s="2" t="s">
        <v>307</v>
      </c>
      <c r="BA6" s="2" t="s">
        <v>35</v>
      </c>
      <c r="BB6" s="2"/>
      <c r="BC6" s="18"/>
      <c r="BD6" s="18"/>
      <c r="BE6" s="18"/>
      <c r="BF6" s="2" t="s">
        <v>29</v>
      </c>
      <c r="BG6" s="18"/>
      <c r="BH6" s="2" t="s">
        <v>280</v>
      </c>
      <c r="BI6" s="18"/>
      <c r="BJ6" s="2" t="s">
        <v>124</v>
      </c>
      <c r="BK6" s="18"/>
      <c r="BL6" s="18"/>
      <c r="BM6" s="2" t="s">
        <v>125</v>
      </c>
      <c r="BN6" s="18"/>
      <c r="BO6" s="394" t="s">
        <v>339</v>
      </c>
      <c r="BQ6" s="394" t="s">
        <v>340</v>
      </c>
      <c r="BR6" s="18"/>
      <c r="BS6" s="2" t="s">
        <v>126</v>
      </c>
      <c r="BT6" s="18"/>
      <c r="BU6" s="35" t="s">
        <v>23</v>
      </c>
      <c r="BV6" s="18"/>
      <c r="BW6" s="38" t="s">
        <v>32</v>
      </c>
      <c r="BZ6" s="2" t="s">
        <v>18</v>
      </c>
      <c r="CA6" s="2" t="s">
        <v>19</v>
      </c>
      <c r="CB6" s="2" t="s">
        <v>20</v>
      </c>
      <c r="CC6" s="2" t="s">
        <v>17</v>
      </c>
      <c r="CD6" s="2" t="s">
        <v>308</v>
      </c>
      <c r="CE6" s="315" t="s">
        <v>312</v>
      </c>
      <c r="CF6" s="315" t="s">
        <v>313</v>
      </c>
      <c r="CG6" s="315" t="s">
        <v>311</v>
      </c>
      <c r="CI6" s="49" t="s">
        <v>45</v>
      </c>
      <c r="CJ6" s="404" t="s">
        <v>46</v>
      </c>
      <c r="CK6" s="404"/>
      <c r="CL6" s="404"/>
      <c r="CM6" s="404"/>
      <c r="CN6" s="404"/>
      <c r="CO6" s="2"/>
      <c r="CP6" s="2"/>
      <c r="CR6" s="49" t="s">
        <v>106</v>
      </c>
      <c r="CS6" s="404" t="s">
        <v>87</v>
      </c>
      <c r="CT6" s="404"/>
      <c r="CU6" s="404"/>
      <c r="CV6" s="404"/>
      <c r="CW6" s="404"/>
      <c r="CX6" s="2"/>
      <c r="CY6" s="2"/>
      <c r="DA6" s="404" t="s">
        <v>101</v>
      </c>
      <c r="DB6" s="404"/>
      <c r="DC6" s="404"/>
      <c r="DD6" s="404"/>
      <c r="DE6" s="404"/>
      <c r="DF6" s="2"/>
      <c r="DG6" s="2"/>
      <c r="DI6" s="404" t="s">
        <v>42</v>
      </c>
      <c r="DJ6" s="404"/>
      <c r="DK6" s="404"/>
      <c r="DL6" s="404"/>
      <c r="DM6" s="404"/>
      <c r="DN6" s="2"/>
      <c r="DO6" s="2"/>
      <c r="DQ6" s="53" t="s">
        <v>36</v>
      </c>
      <c r="DR6" s="53"/>
      <c r="DS6" s="53"/>
      <c r="DT6" s="90"/>
      <c r="DU6" s="90"/>
      <c r="DV6" s="90"/>
      <c r="DW6" s="90"/>
      <c r="DY6" s="53" t="s">
        <v>37</v>
      </c>
      <c r="DZ6" s="53"/>
      <c r="EA6" s="53"/>
      <c r="EB6" s="90"/>
      <c r="EC6" s="90"/>
      <c r="ED6" s="90"/>
      <c r="EE6" s="90"/>
      <c r="EG6" s="53" t="s">
        <v>95</v>
      </c>
      <c r="EH6" s="53"/>
      <c r="EI6" s="53"/>
      <c r="EJ6" s="90"/>
      <c r="EK6" s="90"/>
      <c r="EL6" s="90"/>
      <c r="EM6" s="90"/>
      <c r="EO6" s="53" t="s">
        <v>44</v>
      </c>
      <c r="EP6" s="53"/>
      <c r="EQ6" s="53"/>
      <c r="ER6" s="90"/>
      <c r="ES6" s="90"/>
      <c r="ET6" s="90"/>
      <c r="EU6" s="90"/>
      <c r="EW6" s="53" t="s">
        <v>107</v>
      </c>
      <c r="EX6" s="53"/>
      <c r="EY6" s="53"/>
      <c r="EZ6" s="90"/>
      <c r="FA6" s="90"/>
      <c r="FB6" s="90"/>
      <c r="FC6" s="90"/>
      <c r="FE6" s="53" t="s">
        <v>39</v>
      </c>
      <c r="FF6" s="53"/>
      <c r="FG6" s="53"/>
      <c r="FH6" s="90"/>
      <c r="FI6" s="90"/>
      <c r="FJ6" s="90"/>
      <c r="FK6" s="90"/>
      <c r="FM6" s="53" t="s">
        <v>97</v>
      </c>
      <c r="FN6" s="53"/>
      <c r="FO6" s="53"/>
      <c r="FP6" s="53"/>
      <c r="FQ6" s="90"/>
      <c r="FR6" s="90"/>
      <c r="FS6" s="90"/>
      <c r="FV6" s="53" t="s">
        <v>49</v>
      </c>
      <c r="FW6" s="53"/>
      <c r="FX6" s="53"/>
      <c r="FY6" s="90"/>
      <c r="FZ6" s="90"/>
      <c r="GA6" s="90"/>
      <c r="GB6" s="90"/>
      <c r="GD6" s="53" t="s">
        <v>43</v>
      </c>
      <c r="GE6" s="53"/>
      <c r="GF6" s="53"/>
      <c r="GG6" s="90"/>
      <c r="GH6" s="90"/>
      <c r="GI6" s="90"/>
      <c r="GJ6" s="90"/>
      <c r="GL6" s="53" t="s">
        <v>48</v>
      </c>
      <c r="GM6" s="53"/>
      <c r="GN6" s="53"/>
      <c r="GO6" s="90"/>
      <c r="GP6" s="90"/>
      <c r="GQ6" s="90"/>
      <c r="GR6" s="90"/>
    </row>
    <row r="7" spans="1:200" ht="14.25" customHeight="1">
      <c r="A7" s="7" t="s">
        <v>77</v>
      </c>
      <c r="B7" s="7" t="s">
        <v>54</v>
      </c>
      <c r="C7" s="18"/>
      <c r="D7" s="46"/>
      <c r="E7" s="44" t="s">
        <v>16</v>
      </c>
      <c r="F7" s="44" t="s">
        <v>3</v>
      </c>
      <c r="G7" s="44" t="s">
        <v>14</v>
      </c>
      <c r="H7" s="45" t="s">
        <v>4</v>
      </c>
      <c r="I7" s="95"/>
      <c r="J7" s="42">
        <v>2014</v>
      </c>
      <c r="K7" s="42">
        <v>2015</v>
      </c>
      <c r="L7" s="42">
        <v>2016</v>
      </c>
      <c r="M7" s="47">
        <v>2017</v>
      </c>
      <c r="N7" s="47">
        <v>2018</v>
      </c>
      <c r="O7" s="398" t="s">
        <v>329</v>
      </c>
      <c r="P7" s="346" t="s">
        <v>341</v>
      </c>
      <c r="Q7" s="93"/>
      <c r="R7" s="42">
        <v>2014</v>
      </c>
      <c r="S7" s="42">
        <v>2015</v>
      </c>
      <c r="T7" s="333" t="s">
        <v>309</v>
      </c>
      <c r="U7" s="42">
        <v>2016</v>
      </c>
      <c r="V7" s="47">
        <v>2017</v>
      </c>
      <c r="W7" s="47">
        <v>2018</v>
      </c>
      <c r="X7" s="398" t="s">
        <v>329</v>
      </c>
      <c r="Y7" s="398" t="s">
        <v>341</v>
      </c>
      <c r="Z7" s="97"/>
      <c r="AA7" s="47">
        <v>2014</v>
      </c>
      <c r="AB7" s="47">
        <v>2015</v>
      </c>
      <c r="AC7" s="47">
        <v>2016</v>
      </c>
      <c r="AD7" s="47">
        <v>2017</v>
      </c>
      <c r="AE7" s="47">
        <v>2018</v>
      </c>
      <c r="AF7" s="398" t="s">
        <v>329</v>
      </c>
      <c r="AG7" s="398" t="s">
        <v>341</v>
      </c>
      <c r="AH7" s="97"/>
      <c r="AI7" s="42">
        <v>2014</v>
      </c>
      <c r="AJ7" s="97"/>
      <c r="AK7" s="42">
        <v>2015</v>
      </c>
      <c r="AL7" s="42">
        <v>2016</v>
      </c>
      <c r="AM7" s="47">
        <v>2017</v>
      </c>
      <c r="AN7" s="47">
        <v>2018</v>
      </c>
      <c r="AO7" s="398" t="s">
        <v>329</v>
      </c>
      <c r="AP7" s="398" t="s">
        <v>341</v>
      </c>
      <c r="AQ7" s="97"/>
      <c r="AR7" s="47">
        <v>2014</v>
      </c>
      <c r="AS7" s="47">
        <v>2015</v>
      </c>
      <c r="AT7" s="47">
        <v>2016</v>
      </c>
      <c r="AU7" s="47">
        <v>2017</v>
      </c>
      <c r="AV7" s="47">
        <v>2018</v>
      </c>
      <c r="AW7" s="398" t="s">
        <v>329</v>
      </c>
      <c r="AX7" s="398" t="s">
        <v>341</v>
      </c>
      <c r="AY7" s="97"/>
      <c r="AZ7" s="42">
        <v>2019</v>
      </c>
      <c r="BA7" s="398">
        <v>2019</v>
      </c>
      <c r="BB7" s="42"/>
      <c r="BC7" s="18"/>
      <c r="BD7" s="18"/>
      <c r="BE7" s="18"/>
      <c r="BF7" s="4" t="s">
        <v>347</v>
      </c>
      <c r="BG7" s="18"/>
      <c r="BH7" s="4" t="s">
        <v>347</v>
      </c>
      <c r="BI7" s="18"/>
      <c r="BJ7" s="4" t="s">
        <v>347</v>
      </c>
      <c r="BK7" s="18"/>
      <c r="BL7" s="18"/>
      <c r="BM7" s="4" t="s">
        <v>347</v>
      </c>
      <c r="BN7" s="18"/>
      <c r="BO7" s="395" t="s">
        <v>347</v>
      </c>
      <c r="BQ7" s="395" t="s">
        <v>347</v>
      </c>
      <c r="BR7" s="18"/>
      <c r="BS7" s="4" t="s">
        <v>347</v>
      </c>
      <c r="BT7" s="18"/>
      <c r="BU7" s="4" t="s">
        <v>347</v>
      </c>
      <c r="BV7" s="18"/>
      <c r="BW7" s="4" t="s">
        <v>347</v>
      </c>
      <c r="BZ7" s="4" t="str">
        <f>+BW7</f>
        <v>3Q19</v>
      </c>
      <c r="CA7" s="4" t="str">
        <f>+CC7</f>
        <v>3Q19</v>
      </c>
      <c r="CB7" s="4" t="str">
        <f>+CA7</f>
        <v>3Q19</v>
      </c>
      <c r="CC7" s="4" t="str">
        <f>+BZ7</f>
        <v>3Q19</v>
      </c>
      <c r="CD7" s="4" t="str">
        <f>+CB7</f>
        <v>3Q19</v>
      </c>
      <c r="CE7" s="316" t="str">
        <f t="shared" ref="CE7:CF7" si="0">+CD7</f>
        <v>3Q19</v>
      </c>
      <c r="CF7" s="316" t="str">
        <f t="shared" si="0"/>
        <v>3Q19</v>
      </c>
      <c r="CG7" s="316"/>
      <c r="CI7" s="50" t="str">
        <f>+CD7</f>
        <v>3Q19</v>
      </c>
      <c r="CJ7" s="51">
        <v>2014</v>
      </c>
      <c r="CK7" s="51">
        <v>2015</v>
      </c>
      <c r="CL7" s="51">
        <v>2016</v>
      </c>
      <c r="CM7" s="51">
        <v>2017</v>
      </c>
      <c r="CN7" s="51">
        <v>2018</v>
      </c>
      <c r="CO7" s="51" t="s">
        <v>329</v>
      </c>
      <c r="CP7" s="51" t="s">
        <v>341</v>
      </c>
      <c r="CR7" s="50" t="str">
        <f>+CI7</f>
        <v>3Q19</v>
      </c>
      <c r="CS7" s="51">
        <v>2014</v>
      </c>
      <c r="CT7" s="51">
        <v>2015</v>
      </c>
      <c r="CU7" s="51">
        <v>2016</v>
      </c>
      <c r="CV7" s="51">
        <v>2017</v>
      </c>
      <c r="CW7" s="51">
        <v>2018</v>
      </c>
      <c r="CX7" s="51" t="s">
        <v>329</v>
      </c>
      <c r="CY7" s="51" t="s">
        <v>341</v>
      </c>
      <c r="DA7" s="51">
        <v>2014</v>
      </c>
      <c r="DB7" s="51">
        <v>2015</v>
      </c>
      <c r="DC7" s="51">
        <v>2016</v>
      </c>
      <c r="DD7" s="51">
        <v>2017</v>
      </c>
      <c r="DE7" s="51">
        <v>2018</v>
      </c>
      <c r="DF7" s="51" t="s">
        <v>329</v>
      </c>
      <c r="DG7" s="51" t="s">
        <v>341</v>
      </c>
      <c r="DI7" s="51">
        <v>2014</v>
      </c>
      <c r="DJ7" s="51">
        <v>2015</v>
      </c>
      <c r="DK7" s="51">
        <v>2016</v>
      </c>
      <c r="DL7" s="51">
        <v>2017</v>
      </c>
      <c r="DM7" s="51">
        <v>2018</v>
      </c>
      <c r="DN7" s="51" t="s">
        <v>329</v>
      </c>
      <c r="DO7" s="51" t="s">
        <v>341</v>
      </c>
      <c r="DQ7" s="47">
        <v>2014</v>
      </c>
      <c r="DR7" s="47">
        <v>2015</v>
      </c>
      <c r="DS7" s="51">
        <v>2016</v>
      </c>
      <c r="DT7" s="47">
        <v>2017</v>
      </c>
      <c r="DU7" s="51">
        <v>2018</v>
      </c>
      <c r="DV7" s="51" t="s">
        <v>329</v>
      </c>
      <c r="DW7" s="51" t="s">
        <v>341</v>
      </c>
      <c r="DX7"/>
      <c r="DY7" s="47">
        <v>2014</v>
      </c>
      <c r="DZ7" s="47">
        <v>2015</v>
      </c>
      <c r="EA7" s="51">
        <v>2016</v>
      </c>
      <c r="EB7" s="47">
        <v>2017</v>
      </c>
      <c r="EC7" s="51">
        <v>2018</v>
      </c>
      <c r="ED7" s="51" t="s">
        <v>329</v>
      </c>
      <c r="EE7" s="51" t="s">
        <v>341</v>
      </c>
      <c r="EG7" s="47">
        <v>2014</v>
      </c>
      <c r="EH7" s="47">
        <v>2015</v>
      </c>
      <c r="EI7" s="51">
        <v>2016</v>
      </c>
      <c r="EJ7" s="47">
        <v>2017</v>
      </c>
      <c r="EK7" s="51">
        <v>2018</v>
      </c>
      <c r="EL7" s="51" t="s">
        <v>329</v>
      </c>
      <c r="EM7" s="51" t="s">
        <v>341</v>
      </c>
      <c r="EO7" s="47">
        <v>2014</v>
      </c>
      <c r="EP7" s="47">
        <v>2015</v>
      </c>
      <c r="EQ7" s="51">
        <v>2016</v>
      </c>
      <c r="ER7" s="47">
        <v>2017</v>
      </c>
      <c r="ES7" s="51">
        <v>2018</v>
      </c>
      <c r="ET7" s="51" t="s">
        <v>329</v>
      </c>
      <c r="EU7" s="51" t="s">
        <v>341</v>
      </c>
      <c r="EW7" s="47">
        <v>2014</v>
      </c>
      <c r="EX7" s="47">
        <v>2015</v>
      </c>
      <c r="EY7" s="51">
        <v>2016</v>
      </c>
      <c r="EZ7" s="47">
        <v>2017</v>
      </c>
      <c r="FA7" s="51">
        <v>2018</v>
      </c>
      <c r="FB7" s="51" t="s">
        <v>329</v>
      </c>
      <c r="FC7" s="51" t="s">
        <v>341</v>
      </c>
      <c r="FE7" s="47">
        <v>2014</v>
      </c>
      <c r="FF7" s="47">
        <v>2015</v>
      </c>
      <c r="FG7" s="51">
        <v>2016</v>
      </c>
      <c r="FH7" s="47">
        <v>2017</v>
      </c>
      <c r="FI7" s="51">
        <v>2018</v>
      </c>
      <c r="FJ7" s="51" t="s">
        <v>329</v>
      </c>
      <c r="FK7" s="51" t="s">
        <v>341</v>
      </c>
      <c r="FM7" s="47">
        <v>2014</v>
      </c>
      <c r="FN7" s="47">
        <v>2015</v>
      </c>
      <c r="FO7" s="51">
        <v>2016</v>
      </c>
      <c r="FP7" s="2">
        <v>2017</v>
      </c>
      <c r="FQ7" s="51">
        <v>2018</v>
      </c>
      <c r="FR7" s="51" t="s">
        <v>329</v>
      </c>
      <c r="FS7" s="51" t="s">
        <v>341</v>
      </c>
      <c r="FV7" s="47">
        <v>2014</v>
      </c>
      <c r="FW7" s="47">
        <v>2015</v>
      </c>
      <c r="FX7" s="51">
        <v>2016</v>
      </c>
      <c r="FY7" s="2">
        <v>2017</v>
      </c>
      <c r="FZ7" s="51">
        <v>2018</v>
      </c>
      <c r="GA7" s="51" t="s">
        <v>329</v>
      </c>
      <c r="GB7" s="51" t="s">
        <v>341</v>
      </c>
      <c r="GD7" s="47">
        <v>2014</v>
      </c>
      <c r="GE7" s="47">
        <v>2015</v>
      </c>
      <c r="GF7" s="51">
        <v>2016</v>
      </c>
      <c r="GG7" s="47">
        <v>2017</v>
      </c>
      <c r="GH7" s="51">
        <v>2018</v>
      </c>
      <c r="GI7" s="51" t="s">
        <v>329</v>
      </c>
      <c r="GJ7" s="51" t="s">
        <v>341</v>
      </c>
      <c r="GL7" s="47">
        <v>2014</v>
      </c>
      <c r="GM7" s="47">
        <v>2015</v>
      </c>
      <c r="GN7" s="51">
        <v>2016</v>
      </c>
      <c r="GO7" s="47">
        <v>2017</v>
      </c>
      <c r="GP7" s="51">
        <v>2018</v>
      </c>
      <c r="GQ7" s="51" t="s">
        <v>329</v>
      </c>
      <c r="GR7" s="51" t="s">
        <v>341</v>
      </c>
    </row>
    <row r="8" spans="1:200" ht="6.75" customHeight="1">
      <c r="A8" s="7"/>
      <c r="B8" s="7"/>
      <c r="D8" s="19" t="s">
        <v>16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Q8" s="18"/>
      <c r="BR8" s="18"/>
      <c r="BS8" s="18"/>
      <c r="BT8" s="18"/>
      <c r="BU8" s="18"/>
      <c r="BV8" s="18"/>
      <c r="BW8" s="18"/>
      <c r="DR8"/>
      <c r="DS8"/>
      <c r="DT8"/>
      <c r="DU8"/>
      <c r="DV8"/>
      <c r="DW8"/>
      <c r="DX8"/>
      <c r="DZ8"/>
      <c r="EA8"/>
      <c r="EB8"/>
      <c r="EC8"/>
      <c r="ED8"/>
      <c r="EE8"/>
      <c r="EH8"/>
      <c r="EI8"/>
      <c r="EJ8"/>
      <c r="EK8"/>
      <c r="EL8"/>
      <c r="EM8"/>
      <c r="EP8"/>
      <c r="EQ8"/>
      <c r="ER8"/>
      <c r="ES8"/>
      <c r="ET8"/>
      <c r="EU8"/>
      <c r="EX8"/>
      <c r="EY8"/>
      <c r="EZ8"/>
      <c r="FA8"/>
      <c r="FB8"/>
      <c r="FC8"/>
      <c r="FF8"/>
      <c r="FG8"/>
      <c r="FH8"/>
      <c r="FI8"/>
      <c r="FJ8"/>
      <c r="FK8"/>
      <c r="FN8"/>
      <c r="FO8"/>
      <c r="FP8"/>
      <c r="FQ8"/>
      <c r="FR8"/>
      <c r="FS8"/>
      <c r="FW8"/>
      <c r="FX8"/>
      <c r="FY8"/>
      <c r="FZ8"/>
      <c r="GA8"/>
      <c r="GB8"/>
      <c r="GE8"/>
      <c r="GF8"/>
      <c r="GG8"/>
      <c r="GH8"/>
      <c r="GI8"/>
      <c r="GJ8"/>
      <c r="GM8"/>
      <c r="GN8"/>
      <c r="GO8"/>
      <c r="GP8"/>
      <c r="GQ8"/>
      <c r="GR8"/>
    </row>
    <row r="9" spans="1:200" ht="11.45" customHeight="1">
      <c r="A9" s="7"/>
      <c r="B9" s="7"/>
      <c r="D9" s="19" t="s">
        <v>16</v>
      </c>
      <c r="E9" s="6" t="s">
        <v>141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DR9"/>
      <c r="DS9"/>
      <c r="DT9"/>
      <c r="DU9"/>
      <c r="DV9"/>
      <c r="DW9"/>
      <c r="DX9"/>
      <c r="DZ9"/>
      <c r="EA9"/>
      <c r="EB9"/>
      <c r="EC9"/>
      <c r="ED9"/>
      <c r="EE9"/>
      <c r="EH9"/>
      <c r="EI9"/>
      <c r="EJ9"/>
      <c r="EK9"/>
      <c r="EL9"/>
      <c r="EM9"/>
      <c r="EP9"/>
      <c r="EQ9"/>
      <c r="ER9"/>
      <c r="ES9"/>
      <c r="ET9"/>
      <c r="EU9"/>
      <c r="EX9"/>
      <c r="EY9"/>
      <c r="EZ9"/>
      <c r="FA9"/>
      <c r="FB9"/>
      <c r="FC9"/>
      <c r="FF9"/>
      <c r="FG9"/>
      <c r="FH9"/>
      <c r="FI9"/>
      <c r="FJ9"/>
      <c r="FK9"/>
      <c r="FN9"/>
      <c r="FO9"/>
      <c r="FP9" s="330"/>
      <c r="FQ9"/>
      <c r="FR9"/>
      <c r="FS9"/>
      <c r="FW9"/>
      <c r="FX9"/>
      <c r="FY9"/>
      <c r="FZ9"/>
      <c r="GA9"/>
      <c r="GB9"/>
      <c r="GE9"/>
      <c r="GF9"/>
      <c r="GG9"/>
      <c r="GH9"/>
      <c r="GI9"/>
      <c r="GJ9"/>
      <c r="GM9"/>
      <c r="GN9"/>
      <c r="GO9"/>
      <c r="GP9"/>
      <c r="GQ9"/>
      <c r="GR9"/>
    </row>
    <row r="10" spans="1:200" ht="11.45" customHeight="1">
      <c r="A10" s="37">
        <f>+Bloomberg!D8</f>
        <v>19.123999999999999</v>
      </c>
      <c r="B10" s="64">
        <f>+Bloomberg!D16/100</f>
        <v>3.1419999999999997E-2</v>
      </c>
      <c r="D10" s="6"/>
      <c r="E10" s="20" t="s">
        <v>31</v>
      </c>
      <c r="F10" s="20" t="s">
        <v>5</v>
      </c>
      <c r="G10" s="21">
        <f>+Bloomberg!F35</f>
        <v>29.38</v>
      </c>
      <c r="H10" s="22">
        <f t="shared" ref="H10:H18" si="1">+(G10*CR10)/A10</f>
        <v>6030.3970926584398</v>
      </c>
      <c r="I10" s="22"/>
      <c r="J10" s="23">
        <f t="shared" ref="J10:P17" si="2">+FM10/$G10</f>
        <v>5.2686782787969809E-2</v>
      </c>
      <c r="K10" s="23">
        <f t="shared" si="2"/>
        <v>6.4918678874047744E-2</v>
      </c>
      <c r="L10" s="23">
        <f t="shared" si="2"/>
        <v>6.7818333632600147E-2</v>
      </c>
      <c r="M10" s="23">
        <f t="shared" si="2"/>
        <v>6.6772481661685854E-2</v>
      </c>
      <c r="N10" s="23">
        <f t="shared" si="2"/>
        <v>7.3019523474986484E-2</v>
      </c>
      <c r="O10" s="23">
        <f t="shared" si="2"/>
        <v>7.7913474194121146E-2</v>
      </c>
      <c r="P10" s="23">
        <f t="shared" si="2"/>
        <v>8.3783923357115792E-2</v>
      </c>
      <c r="Q10" s="24"/>
      <c r="R10" s="23">
        <f t="shared" ref="R10:R18" si="3">+GD10/$G10</f>
        <v>5.7437857080496049E-2</v>
      </c>
      <c r="S10" s="23">
        <f t="shared" ref="S10:S18" si="4">+GE10/$G10</f>
        <v>6.6499728433583871E-2</v>
      </c>
      <c r="T10" s="23">
        <f t="shared" ref="T10:T18" si="5">+(CD10*4)/G10</f>
        <v>7.9646017699115043E-2</v>
      </c>
      <c r="U10" s="23">
        <f t="shared" ref="U10:U18" si="6">+GF10/$G10</f>
        <v>6.7395414395346229E-2</v>
      </c>
      <c r="V10" s="23">
        <f t="shared" ref="V10:V18" si="7">+GG10/$G10</f>
        <v>6.7744559786809974E-2</v>
      </c>
      <c r="W10" s="23">
        <f t="shared" ref="W10:W18" si="8">+GH10/$G10</f>
        <v>7.2696793677996724E-2</v>
      </c>
      <c r="X10" s="23">
        <f t="shared" ref="X10:X18" si="9">+GI10/$G10</f>
        <v>7.9066842736130058E-2</v>
      </c>
      <c r="Y10" s="23">
        <f t="shared" ref="Y10:Y18" si="10">+GJ10/$G10</f>
        <v>8.3581375578045403E-2</v>
      </c>
      <c r="Z10" s="24"/>
      <c r="AA10" s="56">
        <f t="shared" ref="AA10:AA18" si="11">+$G10/GL10</f>
        <v>0.70941875080143568</v>
      </c>
      <c r="AB10" s="56">
        <f t="shared" ref="AB10:AB18" si="12">+$G10/GM10</f>
        <v>0.78315822408820979</v>
      </c>
      <c r="AC10" s="56">
        <f t="shared" ref="AC10:AC18" si="13">+$G10/GN10</f>
        <v>0.77076089390503766</v>
      </c>
      <c r="AD10" s="56">
        <f t="shared" ref="AD10:AD18" si="14">+$G10/GO10</f>
        <v>0.66644375548474089</v>
      </c>
      <c r="AE10" s="56">
        <f>+$G10/GP10</f>
        <v>0.73136273122759976</v>
      </c>
      <c r="AF10" s="56">
        <f t="shared" ref="AF10:AF18" si="15">+$G10/GQ10</f>
        <v>0.79971214829543369</v>
      </c>
      <c r="AG10" s="56">
        <f t="shared" ref="AG10:AG18" si="16">+$G10/GR10</f>
        <v>0.80375695662923408</v>
      </c>
      <c r="AH10" s="24"/>
      <c r="AI10" s="23">
        <f t="shared" ref="AI10:AI17" si="17">+DY10/DI10</f>
        <v>4.892472061952139E-2</v>
      </c>
      <c r="AJ10" s="24"/>
      <c r="AK10" s="23">
        <f t="shared" ref="AK10:AK18" si="18">+DZ10/DJ10</f>
        <v>6.2060024536977398E-2</v>
      </c>
      <c r="AL10" s="23">
        <f t="shared" ref="AL10:AL18" si="19">+EA10/DK10</f>
        <v>6.6890537376560741E-2</v>
      </c>
      <c r="AM10" s="23">
        <f t="shared" ref="AM10:AM18" si="20">+EB10/DL10</f>
        <v>6.7729590575805215E-2</v>
      </c>
      <c r="AN10" s="23">
        <f t="shared" ref="AN10:AN18" si="21">+EC10/DM10</f>
        <v>6.6148497218761079E-2</v>
      </c>
      <c r="AO10" s="23">
        <f t="shared" ref="AO10:AO18" si="22">+ED10/DN10</f>
        <v>7.2005316130194133E-2</v>
      </c>
      <c r="AP10" s="23">
        <f t="shared" ref="AP10:AP17" si="23">+EE10/DO10</f>
        <v>7.5282790782925713E-2</v>
      </c>
      <c r="AQ10" s="24"/>
      <c r="AR10" s="23">
        <f t="shared" ref="AR10:AX10" si="24">+DQ10/DI10</f>
        <v>6.4358858838050079E-2</v>
      </c>
      <c r="AS10" s="23">
        <f t="shared" si="24"/>
        <v>7.4007742186983916E-2</v>
      </c>
      <c r="AT10" s="23">
        <f t="shared" si="24"/>
        <v>7.4144587813812224E-2</v>
      </c>
      <c r="AU10" s="23">
        <f t="shared" si="24"/>
        <v>7.4335738148885791E-2</v>
      </c>
      <c r="AV10" s="23">
        <f t="shared" si="24"/>
        <v>7.480358817140359E-2</v>
      </c>
      <c r="AW10" s="23">
        <f t="shared" si="24"/>
        <v>7.9352418543317968E-2</v>
      </c>
      <c r="AX10" s="23">
        <f t="shared" si="24"/>
        <v>8.214164676699337E-2</v>
      </c>
      <c r="AY10" s="24"/>
      <c r="AZ10" s="23">
        <f>+AO10-B10</f>
        <v>4.0585316130194136E-2</v>
      </c>
      <c r="BA10" s="23">
        <f t="shared" ref="BA10:BA18" si="25">+AZ10</f>
        <v>4.0585316130194136E-2</v>
      </c>
      <c r="BB10" s="6"/>
      <c r="BC10" s="25"/>
      <c r="BD10" s="25"/>
      <c r="BE10" s="320"/>
      <c r="BF10" s="40">
        <v>0.23</v>
      </c>
      <c r="BG10" s="317"/>
      <c r="BH10" s="40">
        <v>0.35</v>
      </c>
      <c r="BI10" s="317"/>
      <c r="BJ10" s="40">
        <f t="shared" ref="BJ10:BJ18" si="26">+CC10/BZ10</f>
        <v>0.36638977122443228</v>
      </c>
      <c r="BK10" s="321"/>
      <c r="BL10" s="321"/>
      <c r="BM10" s="40">
        <f t="shared" ref="BM10:BM18" si="27">+(CC10-CA10)/BZ10</f>
        <v>0.31510630054352379</v>
      </c>
      <c r="BN10" s="317"/>
      <c r="BO10" s="40">
        <f>+(CC10/DN10)-0.04</f>
        <v>0.47383496712571355</v>
      </c>
      <c r="BP10" s="317"/>
      <c r="BQ10" s="40">
        <f>+((CC10-CA10)/DN10)-0.04</f>
        <v>0.40191363486975484</v>
      </c>
      <c r="BR10" s="317"/>
      <c r="BS10" s="40">
        <f>+(CA10+CB10)/BZ10</f>
        <v>6.0807047904108624E-2</v>
      </c>
      <c r="BT10" s="317"/>
      <c r="BU10" s="390">
        <f>+BZ10</f>
        <v>267592.51699999999</v>
      </c>
      <c r="BV10" s="317"/>
      <c r="BW10" s="40">
        <f>+CA10/(H10*A10)</f>
        <v>0.11899445597867611</v>
      </c>
      <c r="BY10" s="48" t="s">
        <v>21</v>
      </c>
      <c r="BZ10" s="88">
        <v>267592.51699999999</v>
      </c>
      <c r="CA10" s="88">
        <v>13723.073</v>
      </c>
      <c r="CB10" s="88">
        <v>2548.4380000000001</v>
      </c>
      <c r="CC10" s="88">
        <f>98042.906+0.255085</f>
        <v>98043.161085</v>
      </c>
      <c r="CD10" s="313">
        <v>0.58499999999999996</v>
      </c>
      <c r="CE10" s="313"/>
      <c r="CF10" s="313"/>
      <c r="CG10" s="313"/>
      <c r="CH10" s="39"/>
      <c r="CI10" s="98">
        <v>158563.88399999999</v>
      </c>
      <c r="CJ10" s="33">
        <v>105075.47100000001</v>
      </c>
      <c r="CK10" s="33">
        <v>113358.378</v>
      </c>
      <c r="CL10" s="33">
        <v>122643.33500000001</v>
      </c>
      <c r="CM10" s="33">
        <v>149896.10099999997</v>
      </c>
      <c r="CN10" s="33">
        <v>158105.315</v>
      </c>
      <c r="CO10" s="33">
        <v>143248.34554996021</v>
      </c>
      <c r="CP10" s="33">
        <v>142726.26035653526</v>
      </c>
      <c r="CQ10" s="39"/>
      <c r="CR10" s="98">
        <v>3925.3</v>
      </c>
      <c r="CS10" s="33">
        <v>2537.1854791249998</v>
      </c>
      <c r="CT10" s="33">
        <v>3021.7</v>
      </c>
      <c r="CU10" s="33">
        <v>3217.4501877500002</v>
      </c>
      <c r="CV10" s="33">
        <v>3400.1810920000003</v>
      </c>
      <c r="CW10" s="33">
        <v>3935.75</v>
      </c>
      <c r="CX10" s="33">
        <v>3899.1641306850001</v>
      </c>
      <c r="CY10" s="33">
        <v>3904.6026090959999</v>
      </c>
      <c r="CZ10" s="39"/>
      <c r="DA10" s="33">
        <v>24974.482</v>
      </c>
      <c r="DB10" s="33">
        <v>28044.096500000003</v>
      </c>
      <c r="DC10" s="33">
        <v>49339.764500000005</v>
      </c>
      <c r="DD10" s="33">
        <v>58053.434999999998</v>
      </c>
      <c r="DE10" s="33">
        <v>65968.29849999999</v>
      </c>
      <c r="DF10" s="33">
        <v>76249.270807934168</v>
      </c>
      <c r="DG10" s="33">
        <v>81019.55026656331</v>
      </c>
      <c r="DH10" s="39"/>
      <c r="DI10" s="33">
        <f t="shared" ref="DI10:DI18" si="28">+(CS10*G10)+DA10</f>
        <v>99516.991376692502</v>
      </c>
      <c r="DJ10" s="33">
        <f t="shared" ref="DJ10:DJ18" si="29">+(CT10*G10)+DB10</f>
        <v>116821.64249999999</v>
      </c>
      <c r="DK10" s="33">
        <f t="shared" ref="DK10:DK18" si="30">+(CU10*G10)+DC10</f>
        <v>143868.451016095</v>
      </c>
      <c r="DL10" s="33">
        <f t="shared" ref="DL10:DL18" si="31">+(CV10*G10)+DD10</f>
        <v>157950.75548296</v>
      </c>
      <c r="DM10" s="326">
        <f t="shared" ref="DM10:DM18" si="32">+(CW10*$G10)+DE10</f>
        <v>181600.6335</v>
      </c>
      <c r="DN10" s="326">
        <f>+(CX10*G10)+DF10</f>
        <v>190806.71296745946</v>
      </c>
      <c r="DO10" s="326">
        <f>+(CY10*G10)+DG10</f>
        <v>195736.77492180379</v>
      </c>
      <c r="DP10" s="39"/>
      <c r="DQ10" s="33">
        <v>6404.8</v>
      </c>
      <c r="DR10" s="33">
        <v>8645.7060000000019</v>
      </c>
      <c r="DS10" s="33">
        <v>10667.066999999999</v>
      </c>
      <c r="DT10" s="33">
        <v>11741.386</v>
      </c>
      <c r="DU10" s="33">
        <v>13584.378999999999</v>
      </c>
      <c r="DV10" s="33">
        <v>15140.974148268579</v>
      </c>
      <c r="DW10" s="33">
        <v>16078.141024937293</v>
      </c>
      <c r="DX10"/>
      <c r="DY10" s="33">
        <v>4868.8410000000003</v>
      </c>
      <c r="DZ10" s="33">
        <v>7249.9540000000006</v>
      </c>
      <c r="EA10" s="33">
        <v>9623.4380000000001</v>
      </c>
      <c r="EB10" s="33">
        <v>10697.94</v>
      </c>
      <c r="EC10" s="33">
        <v>12012.609</v>
      </c>
      <c r="ED10" s="33">
        <v>13739.097686985131</v>
      </c>
      <c r="EE10" s="33">
        <v>14735.610674962776</v>
      </c>
      <c r="EG10" s="33">
        <v>3927.4050000000002</v>
      </c>
      <c r="EH10" s="33">
        <v>5763.3210000000008</v>
      </c>
      <c r="EI10" s="33">
        <v>6410.7780000000012</v>
      </c>
      <c r="EJ10" s="33">
        <v>6670.3920000000007</v>
      </c>
      <c r="EK10" s="33">
        <v>8443.4179999999997</v>
      </c>
      <c r="EL10" s="33">
        <v>8925.5683134407009</v>
      </c>
      <c r="EM10" s="33">
        <v>9611.4591582557023</v>
      </c>
      <c r="EN10" s="322"/>
      <c r="EO10" s="33">
        <v>3899.4050000000002</v>
      </c>
      <c r="EP10" s="33">
        <v>5735.3210000000008</v>
      </c>
      <c r="EQ10" s="33">
        <v>6382.7780000000012</v>
      </c>
      <c r="ER10" s="33">
        <v>6733.1920000000009</v>
      </c>
      <c r="ES10" s="33">
        <v>8666.7179999999989</v>
      </c>
      <c r="ET10" s="33">
        <v>8925.5683134407009</v>
      </c>
      <c r="EU10" s="33">
        <v>9583.4591582557023</v>
      </c>
      <c r="EW10" s="33">
        <v>4281.5619999999999</v>
      </c>
      <c r="EX10" s="33">
        <v>5903.6826999999994</v>
      </c>
      <c r="EY10" s="33">
        <v>6370.8</v>
      </c>
      <c r="EZ10" s="33">
        <v>6767.5000000000009</v>
      </c>
      <c r="FA10" s="33">
        <v>8406.1</v>
      </c>
      <c r="FB10" s="33">
        <v>9057.695263480502</v>
      </c>
      <c r="FC10" s="33">
        <v>9588.2234391806633</v>
      </c>
      <c r="FE10" s="52">
        <f t="shared" ref="FE10:FE11" si="33">+DY10/CS10</f>
        <v>1.9189929313638985</v>
      </c>
      <c r="FF10" s="52">
        <f t="shared" ref="FF10:FF11" si="34">+DZ10/CT10</f>
        <v>2.3992964225436015</v>
      </c>
      <c r="FG10" s="52">
        <f t="shared" ref="FG10:FG11" si="35">+EA10/CU10</f>
        <v>2.99101382723497</v>
      </c>
      <c r="FH10" s="52">
        <f t="shared" ref="FH10:FH11" si="36">+EB10/CV10</f>
        <v>3.1462853626150333</v>
      </c>
      <c r="FI10" s="52">
        <f t="shared" ref="FI10:FI11" si="37">+EC10/CW10</f>
        <v>3.0521778568252556</v>
      </c>
      <c r="FJ10" s="52">
        <f t="shared" ref="FJ10:FJ11" si="38">+ED10/CX10</f>
        <v>3.5236007581377358</v>
      </c>
      <c r="FK10" s="52">
        <f t="shared" ref="FK10:FK11" si="39">+EE10/CY10</f>
        <v>3.7739079107910523</v>
      </c>
      <c r="FM10" s="52">
        <f t="shared" ref="FM10:FS10" si="40">+EG10/CS10</f>
        <v>1.547937678310553</v>
      </c>
      <c r="FN10" s="52">
        <f t="shared" si="40"/>
        <v>1.9073107853195226</v>
      </c>
      <c r="FO10" s="52">
        <f t="shared" si="40"/>
        <v>1.9925026421257921</v>
      </c>
      <c r="FP10" s="52">
        <f t="shared" si="40"/>
        <v>1.9617755112203301</v>
      </c>
      <c r="FQ10" s="52">
        <f t="shared" si="40"/>
        <v>2.1453135996951027</v>
      </c>
      <c r="FR10" s="52">
        <f t="shared" ref="FR10:FR18" si="41">+EL10/CX10</f>
        <v>2.2890978718232793</v>
      </c>
      <c r="FS10" s="52">
        <f t="shared" si="40"/>
        <v>2.4615716682320619</v>
      </c>
      <c r="FT10" s="361"/>
      <c r="FU10" s="361"/>
      <c r="FV10" s="52">
        <f t="shared" ref="FV10:GB11" si="42">+EO10/CS10</f>
        <v>1.5369018276680306</v>
      </c>
      <c r="FW10" s="52">
        <f t="shared" si="42"/>
        <v>1.8980444782738197</v>
      </c>
      <c r="FX10" s="52">
        <f t="shared" si="42"/>
        <v>1.9838000986935407</v>
      </c>
      <c r="FY10" s="52">
        <f t="shared" si="42"/>
        <v>1.9802451157210306</v>
      </c>
      <c r="FZ10" s="52">
        <f t="shared" si="42"/>
        <v>2.2020499269516609</v>
      </c>
      <c r="GA10" s="52">
        <f t="shared" si="42"/>
        <v>2.2890978718232793</v>
      </c>
      <c r="GB10" s="52">
        <f t="shared" si="42"/>
        <v>2.4544006439811503</v>
      </c>
      <c r="GC10" s="361"/>
      <c r="GD10" s="52">
        <f>+EW10/CS10</f>
        <v>1.6875242410249738</v>
      </c>
      <c r="GE10" s="52">
        <f>+EX10/CT10</f>
        <v>1.9537620213786939</v>
      </c>
      <c r="GF10" s="52">
        <f>+EY10/CU10</f>
        <v>1.9800772749352722</v>
      </c>
      <c r="GG10" s="52">
        <f t="shared" ref="GG10:GG11" si="43">+EZ10/CV10</f>
        <v>1.990335166536477</v>
      </c>
      <c r="GH10" s="52">
        <f t="shared" ref="GH10:GJ11" si="44">+FA10/CW10</f>
        <v>2.1358317982595438</v>
      </c>
      <c r="GI10" s="52">
        <f t="shared" si="44"/>
        <v>2.3229838395875011</v>
      </c>
      <c r="GJ10" s="52">
        <f t="shared" si="44"/>
        <v>2.4556208144829736</v>
      </c>
      <c r="GL10" s="52">
        <f t="shared" ref="GL10:GL11" si="45">+CJ10/CS10</f>
        <v>41.414185862453159</v>
      </c>
      <c r="GM10" s="52">
        <f t="shared" ref="GM10:GM11" si="46">+CK10/CT10</f>
        <v>37.514769169672704</v>
      </c>
      <c r="GN10" s="52">
        <f t="shared" ref="GN10:GN11" si="47">+CL10/CU10</f>
        <v>38.118176768345215</v>
      </c>
      <c r="GO10" s="52">
        <f t="shared" ref="GO10:GO11" si="48">+CM10/CV10</f>
        <v>44.084740472405393</v>
      </c>
      <c r="GP10" s="52">
        <f>+CN10/CW10</f>
        <v>40.17158483135362</v>
      </c>
      <c r="GQ10" s="52">
        <f t="shared" ref="GP10:GQ11" si="49">+CO10/CX10</f>
        <v>36.738218948683887</v>
      </c>
      <c r="GR10" s="52">
        <f t="shared" ref="GR10:GR11" si="50">+CP10/CY10</f>
        <v>36.553338366379741</v>
      </c>
    </row>
    <row r="11" spans="1:200" ht="11.45" customHeight="1">
      <c r="A11" s="37">
        <f>+A10</f>
        <v>19.123999999999999</v>
      </c>
      <c r="B11" s="64">
        <f>+B10</f>
        <v>3.1419999999999997E-2</v>
      </c>
      <c r="D11" s="19"/>
      <c r="E11" s="27" t="s">
        <v>33</v>
      </c>
      <c r="F11" s="27" t="s">
        <v>5</v>
      </c>
      <c r="G11" s="28">
        <f>+Bloomberg!F36</f>
        <v>28.15</v>
      </c>
      <c r="H11" s="29">
        <f t="shared" si="1"/>
        <v>1142.6558577677265</v>
      </c>
      <c r="I11" s="29"/>
      <c r="J11" s="30">
        <f t="shared" si="2"/>
        <v>6.8818786208879337E-2</v>
      </c>
      <c r="K11" s="30">
        <f t="shared" si="2"/>
        <v>6.8665720950331369E-2</v>
      </c>
      <c r="L11" s="30">
        <f t="shared" si="2"/>
        <v>8.5815196197030388E-2</v>
      </c>
      <c r="M11" s="30">
        <f t="shared" si="2"/>
        <v>9.3827212148580419E-2</v>
      </c>
      <c r="N11" s="30">
        <f t="shared" si="2"/>
        <v>9.9657359006136287E-2</v>
      </c>
      <c r="O11" s="30">
        <f t="shared" si="2"/>
        <v>0.10340174198074766</v>
      </c>
      <c r="P11" s="30">
        <f t="shared" si="2"/>
        <v>0.11155068716934326</v>
      </c>
      <c r="Q11" s="31"/>
      <c r="R11" s="30">
        <f t="shared" si="3"/>
        <v>5.7498358003732521E-2</v>
      </c>
      <c r="S11" s="30">
        <f t="shared" si="4"/>
        <v>5.4051225577264654E-2</v>
      </c>
      <c r="T11" s="30">
        <f t="shared" si="5"/>
        <v>6.4653641207815277E-2</v>
      </c>
      <c r="U11" s="30">
        <f t="shared" si="6"/>
        <v>6.3232682060390774E-2</v>
      </c>
      <c r="V11" s="30">
        <f t="shared" si="7"/>
        <v>5.5595026642984012E-2</v>
      </c>
      <c r="W11" s="30">
        <f t="shared" si="8"/>
        <v>5.5838805594834034E-2</v>
      </c>
      <c r="X11" s="30">
        <f t="shared" si="9"/>
        <v>5.987163942123367E-2</v>
      </c>
      <c r="Y11" s="30">
        <f t="shared" si="10"/>
        <v>6.2974052556898516E-2</v>
      </c>
      <c r="Z11" s="31"/>
      <c r="AA11" s="57">
        <f t="shared" si="11"/>
        <v>0.95582817694685662</v>
      </c>
      <c r="AB11" s="57">
        <f t="shared" si="12"/>
        <v>0.97106692594513722</v>
      </c>
      <c r="AC11" s="57">
        <f t="shared" si="13"/>
        <v>0.85374564794002361</v>
      </c>
      <c r="AD11" s="57">
        <f t="shared" si="14"/>
        <v>0.83075536656541638</v>
      </c>
      <c r="AE11" s="57">
        <f t="shared" ref="AE11:AE18" si="51">+$G11/GP11</f>
        <v>0.82178799820738013</v>
      </c>
      <c r="AF11" s="57">
        <f t="shared" si="15"/>
        <v>0.78882211660345514</v>
      </c>
      <c r="AG11" s="57">
        <f t="shared" si="16"/>
        <v>0.76562183475988899</v>
      </c>
      <c r="AH11" s="31"/>
      <c r="AI11" s="30">
        <f t="shared" si="17"/>
        <v>5.7127745707327017E-2</v>
      </c>
      <c r="AJ11" s="31"/>
      <c r="AK11" s="30">
        <f t="shared" si="18"/>
        <v>6.4174920545010644E-2</v>
      </c>
      <c r="AL11" s="30">
        <f t="shared" si="19"/>
        <v>7.1322537515024681E-2</v>
      </c>
      <c r="AM11" s="30">
        <f t="shared" si="20"/>
        <v>7.357106564879165E-2</v>
      </c>
      <c r="AN11" s="30">
        <f t="shared" si="21"/>
        <v>7.9245173350395964E-2</v>
      </c>
      <c r="AO11" s="30">
        <f t="shared" si="22"/>
        <v>8.1667094259590831E-2</v>
      </c>
      <c r="AP11" s="30">
        <f t="shared" si="23"/>
        <v>8.7055205452167883E-2</v>
      </c>
      <c r="AQ11" s="31"/>
      <c r="AR11" s="30">
        <f t="shared" ref="AR11:AW17" si="52">+DQ11/DI11</f>
        <v>6.3798440629768957E-2</v>
      </c>
      <c r="AS11" s="30">
        <f t="shared" si="52"/>
        <v>7.0848139162910662E-2</v>
      </c>
      <c r="AT11" s="30">
        <f t="shared" si="52"/>
        <v>7.7124878600138419E-2</v>
      </c>
      <c r="AU11" s="30">
        <f t="shared" si="52"/>
        <v>7.9187410290213395E-2</v>
      </c>
      <c r="AV11" s="30">
        <f t="shared" si="52"/>
        <v>8.4881367591318382E-2</v>
      </c>
      <c r="AW11" s="30">
        <f t="shared" si="52"/>
        <v>8.7324462429310398E-2</v>
      </c>
      <c r="AX11" s="30">
        <f t="shared" ref="AX11:AX17" si="53">+DW11/DO11</f>
        <v>9.2987489350011235E-2</v>
      </c>
      <c r="AY11" s="31"/>
      <c r="AZ11" s="30">
        <f t="shared" ref="AZ11:AZ18" si="54">+AO11-B11</f>
        <v>5.0247094259590834E-2</v>
      </c>
      <c r="BA11" s="30">
        <f t="shared" si="25"/>
        <v>5.0247094259590834E-2</v>
      </c>
      <c r="BB11" s="19"/>
      <c r="BC11" s="25"/>
      <c r="BD11" s="18"/>
      <c r="BE11" s="320"/>
      <c r="BF11" s="41">
        <v>0.78</v>
      </c>
      <c r="BG11" s="317"/>
      <c r="BH11" s="41">
        <v>0.95</v>
      </c>
      <c r="BI11" s="317"/>
      <c r="BJ11" s="41">
        <f t="shared" si="26"/>
        <v>0.3535877741363625</v>
      </c>
      <c r="BK11" s="321"/>
      <c r="BL11" s="321"/>
      <c r="BM11" s="41">
        <f t="shared" si="27"/>
        <v>0.34578642030500384</v>
      </c>
      <c r="BN11" s="317"/>
      <c r="BO11" s="41">
        <f t="shared" ref="BO11:BO18" si="55">+CC11/DN11</f>
        <v>0.40880239450860711</v>
      </c>
      <c r="BP11" s="317"/>
      <c r="BQ11" s="41">
        <f t="shared" ref="BQ11:BQ18" si="56">+(CC11-CA11)/DN11</f>
        <v>0.39978281758896395</v>
      </c>
      <c r="BR11" s="317"/>
      <c r="BS11" s="41">
        <f>+(CA11+CB11)/BZ11</f>
        <v>7.8013538313587002E-3</v>
      </c>
      <c r="BT11" s="317"/>
      <c r="BU11" s="391">
        <f t="shared" ref="BU11:BU18" si="57">+BZ11</f>
        <v>43623.453999999998</v>
      </c>
      <c r="BV11" s="317"/>
      <c r="BW11" s="41">
        <f>+CA11/(H11*A11)</f>
        <v>1.5573844691835795E-2</v>
      </c>
      <c r="BY11" s="48" t="s">
        <v>21</v>
      </c>
      <c r="BZ11" s="88">
        <v>43623.453999999998</v>
      </c>
      <c r="CA11" s="88">
        <v>340.322</v>
      </c>
      <c r="CB11" s="88">
        <v>0</v>
      </c>
      <c r="CC11" s="88">
        <v>15424.72</v>
      </c>
      <c r="CD11" s="313">
        <v>0.45500000000000002</v>
      </c>
      <c r="CE11" s="313"/>
      <c r="CF11" s="313"/>
      <c r="CG11" s="313"/>
      <c r="CH11" s="39"/>
      <c r="CI11" s="99">
        <v>27232.348999999998</v>
      </c>
      <c r="CJ11" s="34">
        <v>20852.921999999999</v>
      </c>
      <c r="CK11" s="34">
        <v>23520.399999999994</v>
      </c>
      <c r="CL11" s="34">
        <v>26752.560999999994</v>
      </c>
      <c r="CM11" s="34">
        <v>27492.909999999996</v>
      </c>
      <c r="CN11" s="34">
        <v>26998.887000000006</v>
      </c>
      <c r="CO11" s="34">
        <v>27512.850514392136</v>
      </c>
      <c r="CP11" s="34">
        <v>28310.974185836505</v>
      </c>
      <c r="CQ11" s="39"/>
      <c r="CR11" s="99">
        <v>776.27533300000005</v>
      </c>
      <c r="CS11" s="34">
        <v>708.0572085</v>
      </c>
      <c r="CT11" s="34">
        <v>811.36350000000004</v>
      </c>
      <c r="CU11" s="34">
        <v>811.36350000000004</v>
      </c>
      <c r="CV11" s="34">
        <v>811.36350000000004</v>
      </c>
      <c r="CW11" s="34">
        <v>788.18334996651038</v>
      </c>
      <c r="CX11" s="34">
        <v>770.96784996651036</v>
      </c>
      <c r="CY11" s="34">
        <v>770</v>
      </c>
      <c r="CZ11" s="39"/>
      <c r="DA11" s="34">
        <v>10812.8125</v>
      </c>
      <c r="DB11" s="34">
        <v>12510.3755</v>
      </c>
      <c r="DC11" s="34">
        <v>16937.165499999999</v>
      </c>
      <c r="DD11" s="34">
        <v>17827.137500000001</v>
      </c>
      <c r="DE11" s="34">
        <v>16775.099999999999</v>
      </c>
      <c r="DF11" s="34">
        <v>16028.736558772252</v>
      </c>
      <c r="DG11" s="34">
        <v>15256.045975814326</v>
      </c>
      <c r="DH11" s="39"/>
      <c r="DI11" s="34">
        <f t="shared" si="28"/>
        <v>30744.622919275</v>
      </c>
      <c r="DJ11" s="34">
        <f t="shared" si="29"/>
        <v>35350.258025000003</v>
      </c>
      <c r="DK11" s="34">
        <f t="shared" si="30"/>
        <v>39777.048024999996</v>
      </c>
      <c r="DL11" s="34">
        <f t="shared" si="31"/>
        <v>40667.020025000005</v>
      </c>
      <c r="DM11" s="327">
        <f t="shared" si="32"/>
        <v>38962.461301557269</v>
      </c>
      <c r="DN11" s="327">
        <f t="shared" ref="DN11:DO18" si="58">+(CX11*$G11)+DF11</f>
        <v>37731.481535329513</v>
      </c>
      <c r="DO11" s="327">
        <f t="shared" si="58"/>
        <v>36931.545975814326</v>
      </c>
      <c r="DP11" s="39"/>
      <c r="DQ11" s="34">
        <v>1961.4590000000001</v>
      </c>
      <c r="DR11" s="34">
        <v>2504.4999999999995</v>
      </c>
      <c r="DS11" s="34">
        <v>3067.8</v>
      </c>
      <c r="DT11" s="34">
        <v>3220.3159999999998</v>
      </c>
      <c r="DU11" s="34">
        <v>3307.1869999999999</v>
      </c>
      <c r="DV11" s="34">
        <v>3294.8813417341012</v>
      </c>
      <c r="DW11" s="34">
        <v>3434.171738105485</v>
      </c>
      <c r="DX11"/>
      <c r="DY11" s="34">
        <v>1756.3710000000001</v>
      </c>
      <c r="DZ11" s="34">
        <v>2268.6</v>
      </c>
      <c r="EA11" s="34">
        <v>2837.0000000000005</v>
      </c>
      <c r="EB11" s="34">
        <v>2991.9160000000002</v>
      </c>
      <c r="EC11" s="34">
        <v>3087.587</v>
      </c>
      <c r="ED11" s="34">
        <v>3081.4204590997665</v>
      </c>
      <c r="EE11" s="34">
        <v>3215.0833225907004</v>
      </c>
      <c r="EG11" s="34">
        <v>1371.683</v>
      </c>
      <c r="EH11" s="34">
        <v>1568.317</v>
      </c>
      <c r="EI11" s="34">
        <v>1960.0090000000007</v>
      </c>
      <c r="EJ11" s="34">
        <v>2143.0025031218297</v>
      </c>
      <c r="EK11" s="34">
        <v>2211.1338306281477</v>
      </c>
      <c r="EL11" s="34">
        <v>2244.1016363399417</v>
      </c>
      <c r="EM11" s="34">
        <v>2417.9169197390997</v>
      </c>
      <c r="EN11" s="322"/>
      <c r="EO11" s="34">
        <v>1276.7830000000001</v>
      </c>
      <c r="EP11" s="34">
        <v>1391.0170000000001</v>
      </c>
      <c r="EQ11" s="34">
        <v>1684.4090000000006</v>
      </c>
      <c r="ER11" s="34">
        <v>1860.9025031218296</v>
      </c>
      <c r="ES11" s="34">
        <v>1938.7338306281474</v>
      </c>
      <c r="ET11" s="34">
        <v>1922.8866276045778</v>
      </c>
      <c r="EU11" s="34">
        <v>2085.5568047434708</v>
      </c>
      <c r="EW11" s="34">
        <v>1146.0463711499999</v>
      </c>
      <c r="EX11" s="34">
        <v>1234.5236425170001</v>
      </c>
      <c r="EY11" s="34">
        <v>1444.22703</v>
      </c>
      <c r="EZ11" s="34">
        <v>1269.7838775</v>
      </c>
      <c r="FA11" s="34">
        <v>1238.91575438</v>
      </c>
      <c r="FB11" s="34">
        <v>1299.378921687427</v>
      </c>
      <c r="FC11" s="34">
        <v>1364.9940761970538</v>
      </c>
      <c r="FE11" s="54">
        <f t="shared" si="33"/>
        <v>2.4805495642376476</v>
      </c>
      <c r="FF11" s="54">
        <f t="shared" si="34"/>
        <v>2.7960340833670725</v>
      </c>
      <c r="FG11" s="54">
        <f t="shared" si="35"/>
        <v>3.4965832207142671</v>
      </c>
      <c r="FH11" s="54">
        <f t="shared" si="36"/>
        <v>3.6875161379578945</v>
      </c>
      <c r="FI11" s="54">
        <f t="shared" si="37"/>
        <v>3.9173461354279944</v>
      </c>
      <c r="FJ11" s="54">
        <f t="shared" si="38"/>
        <v>3.9968209559369026</v>
      </c>
      <c r="FK11" s="54">
        <f t="shared" si="39"/>
        <v>4.1754328864814294</v>
      </c>
      <c r="FL11" s="55"/>
      <c r="FM11" s="54">
        <f t="shared" ref="FM11:FM12" si="59">+EG11/CS11</f>
        <v>1.9372488317799534</v>
      </c>
      <c r="FN11" s="54">
        <f t="shared" ref="FN11:FN12" si="60">+EH11/CT11</f>
        <v>1.9329400447518281</v>
      </c>
      <c r="FO11" s="54">
        <f>+EI11/CU11</f>
        <v>2.4156977729464053</v>
      </c>
      <c r="FP11" s="54">
        <f>+EJ11/CV11</f>
        <v>2.6412360219825386</v>
      </c>
      <c r="FQ11" s="54">
        <f>+EK11/CW11</f>
        <v>2.8053546560227365</v>
      </c>
      <c r="FR11" s="54">
        <f t="shared" si="41"/>
        <v>2.9107590367580465</v>
      </c>
      <c r="FS11" s="54">
        <f>+EM11/CY11</f>
        <v>3.1401518438170126</v>
      </c>
      <c r="FT11" s="322"/>
      <c r="FU11" s="55"/>
      <c r="FV11" s="54">
        <f t="shared" si="42"/>
        <v>1.8032201136753205</v>
      </c>
      <c r="FW11" s="54">
        <f t="shared" si="42"/>
        <v>1.7144189996222408</v>
      </c>
      <c r="FX11" s="54">
        <f t="shared" si="42"/>
        <v>2.076022645830137</v>
      </c>
      <c r="FY11" s="54">
        <f t="shared" si="42"/>
        <v>2.2935496890380569</v>
      </c>
      <c r="FZ11" s="54">
        <f t="shared" si="42"/>
        <v>2.4597497913531456</v>
      </c>
      <c r="GA11" s="54">
        <f t="shared" si="42"/>
        <v>2.4941203808798318</v>
      </c>
      <c r="GB11" s="54">
        <f t="shared" si="42"/>
        <v>2.7085153308356764</v>
      </c>
      <c r="GC11" s="55"/>
      <c r="GD11" s="54">
        <f t="shared" ref="GD11:GE11" si="61">+EW11/CS11</f>
        <v>1.6185787778050704</v>
      </c>
      <c r="GE11" s="54">
        <f t="shared" si="61"/>
        <v>1.521542</v>
      </c>
      <c r="GF11" s="54">
        <f t="shared" ref="GF11" si="62">+EY11/CU11</f>
        <v>1.78</v>
      </c>
      <c r="GG11" s="54">
        <f t="shared" si="43"/>
        <v>1.5649999999999999</v>
      </c>
      <c r="GH11" s="54">
        <f t="shared" si="44"/>
        <v>1.5718623774945779</v>
      </c>
      <c r="GI11" s="54">
        <f t="shared" si="44"/>
        <v>1.6853866497077277</v>
      </c>
      <c r="GJ11" s="54">
        <f t="shared" si="44"/>
        <v>1.7727195794766932</v>
      </c>
      <c r="GK11" s="55"/>
      <c r="GL11" s="54">
        <f t="shared" si="45"/>
        <v>29.450899940947355</v>
      </c>
      <c r="GM11" s="54">
        <f t="shared" si="46"/>
        <v>28.988733163372512</v>
      </c>
      <c r="GN11" s="54">
        <f t="shared" si="47"/>
        <v>32.972349631207209</v>
      </c>
      <c r="GO11" s="54">
        <f t="shared" si="48"/>
        <v>33.884824742547572</v>
      </c>
      <c r="GP11" s="54">
        <f t="shared" si="49"/>
        <v>34.254576680853738</v>
      </c>
      <c r="GQ11" s="54">
        <f t="shared" si="49"/>
        <v>35.686119097686436</v>
      </c>
      <c r="GR11" s="54">
        <f t="shared" si="50"/>
        <v>36.767498942644814</v>
      </c>
    </row>
    <row r="12" spans="1:200" ht="11.45" customHeight="1">
      <c r="A12" s="37">
        <f t="shared" ref="A12:B18" si="63">+A11</f>
        <v>19.123999999999999</v>
      </c>
      <c r="B12" s="64">
        <f t="shared" si="63"/>
        <v>3.1419999999999997E-2</v>
      </c>
      <c r="D12" s="6"/>
      <c r="E12" s="20" t="s">
        <v>27</v>
      </c>
      <c r="F12" s="20" t="s">
        <v>5</v>
      </c>
      <c r="G12" s="21">
        <f>+Bloomberg!F37</f>
        <v>9.19</v>
      </c>
      <c r="H12" s="22">
        <f t="shared" si="1"/>
        <v>241.59829495973648</v>
      </c>
      <c r="I12" s="22"/>
      <c r="J12" s="23">
        <f t="shared" si="2"/>
        <v>0.11550382278141907</v>
      </c>
      <c r="K12" s="23">
        <f t="shared" si="2"/>
        <v>0.11217698881721444</v>
      </c>
      <c r="L12" s="23">
        <f t="shared" si="2"/>
        <v>0.12050211790577103</v>
      </c>
      <c r="M12" s="23">
        <f t="shared" si="2"/>
        <v>0.12028457357067064</v>
      </c>
      <c r="N12" s="23">
        <f t="shared" si="2"/>
        <v>0.1135422611017399</v>
      </c>
      <c r="O12" s="23">
        <f t="shared" si="2"/>
        <v>0.10922150047605882</v>
      </c>
      <c r="P12" s="23">
        <f t="shared" si="2"/>
        <v>8.5497182909934924E-2</v>
      </c>
      <c r="Q12" s="24"/>
      <c r="R12" s="23">
        <f t="shared" si="3"/>
        <v>0.10170048090336234</v>
      </c>
      <c r="S12" s="23">
        <f t="shared" si="4"/>
        <v>0.10785722761970279</v>
      </c>
      <c r="T12" s="23">
        <f t="shared" si="5"/>
        <v>9.7932535364526674E-2</v>
      </c>
      <c r="U12" s="23">
        <f t="shared" si="6"/>
        <v>0.12159034238262606</v>
      </c>
      <c r="V12" s="23">
        <f t="shared" si="7"/>
        <v>0.11516048652654057</v>
      </c>
      <c r="W12" s="23">
        <f t="shared" si="8"/>
        <v>0.11825684797659114</v>
      </c>
      <c r="X12" s="23">
        <f t="shared" si="9"/>
        <v>9.3773435684424838E-2</v>
      </c>
      <c r="Y12" s="23">
        <f t="shared" si="10"/>
        <v>7.4178989072902338E-2</v>
      </c>
      <c r="Z12" s="24"/>
      <c r="AA12" s="56">
        <f t="shared" si="11"/>
        <v>0.50586136002758997</v>
      </c>
      <c r="AB12" s="56">
        <f t="shared" si="12"/>
        <v>0.49771117426453571</v>
      </c>
      <c r="AC12" s="56">
        <f t="shared" si="13"/>
        <v>0.50916919815024042</v>
      </c>
      <c r="AD12" s="56">
        <f t="shared" si="14"/>
        <v>0.40872626571367232</v>
      </c>
      <c r="AE12" s="56">
        <f t="shared" si="51"/>
        <v>0.43185533657469433</v>
      </c>
      <c r="AF12" s="56">
        <f t="shared" si="15"/>
        <v>0.43458850244664338</v>
      </c>
      <c r="AG12" s="56">
        <f t="shared" si="16"/>
        <v>0.43246133028995593</v>
      </c>
      <c r="AH12" s="24"/>
      <c r="AI12" s="23">
        <f t="shared" si="17"/>
        <v>0.10532707186019449</v>
      </c>
      <c r="AJ12" s="24"/>
      <c r="AK12" s="23">
        <f t="shared" si="18"/>
        <v>8.8353739658635078E-2</v>
      </c>
      <c r="AL12" s="23">
        <f t="shared" si="19"/>
        <v>9.331710794317094E-2</v>
      </c>
      <c r="AM12" s="23">
        <f t="shared" si="20"/>
        <v>8.1030474407997641E-2</v>
      </c>
      <c r="AN12" s="23">
        <f t="shared" si="21"/>
        <v>8.6495067112303398E-2</v>
      </c>
      <c r="AO12" s="23">
        <f t="shared" si="22"/>
        <v>8.4014858443517956E-2</v>
      </c>
      <c r="AP12" s="23">
        <f t="shared" si="23"/>
        <v>8.5186467711529545E-2</v>
      </c>
      <c r="AQ12" s="24"/>
      <c r="AR12" s="23">
        <f t="shared" si="52"/>
        <v>0.11531497366240247</v>
      </c>
      <c r="AS12" s="23">
        <f t="shared" si="52"/>
        <v>9.6478776501744426E-2</v>
      </c>
      <c r="AT12" s="23">
        <f t="shared" si="52"/>
        <v>0.10164447307886822</v>
      </c>
      <c r="AU12" s="23">
        <f t="shared" si="52"/>
        <v>8.8180620198038809E-2</v>
      </c>
      <c r="AV12" s="23">
        <f t="shared" si="52"/>
        <v>9.1035541996907526E-2</v>
      </c>
      <c r="AW12" s="23">
        <f t="shared" si="52"/>
        <v>8.8404951193414169E-2</v>
      </c>
      <c r="AX12" s="23">
        <f t="shared" si="53"/>
        <v>8.968560697032435E-2</v>
      </c>
      <c r="AY12" s="24"/>
      <c r="AZ12" s="23">
        <f t="shared" si="54"/>
        <v>5.259485844351796E-2</v>
      </c>
      <c r="BA12" s="23">
        <f t="shared" si="25"/>
        <v>5.259485844351796E-2</v>
      </c>
      <c r="BB12" s="6"/>
      <c r="BC12" s="25"/>
      <c r="BD12" s="25"/>
      <c r="BE12" s="320"/>
      <c r="BF12" s="40">
        <v>0</v>
      </c>
      <c r="BG12" s="317"/>
      <c r="BH12" s="40">
        <v>0</v>
      </c>
      <c r="BI12" s="317"/>
      <c r="BJ12" s="40">
        <f t="shared" si="26"/>
        <v>0.41307020195005811</v>
      </c>
      <c r="BK12" s="321"/>
      <c r="BL12" s="321"/>
      <c r="BM12" s="40">
        <f t="shared" si="27"/>
        <v>0.40119124732631278</v>
      </c>
      <c r="BN12" s="317"/>
      <c r="BO12" s="40">
        <f t="shared" si="55"/>
        <v>0.62770916610024885</v>
      </c>
      <c r="BP12" s="317"/>
      <c r="BQ12" s="40">
        <f t="shared" si="56"/>
        <v>0.60965768558722111</v>
      </c>
      <c r="BR12" s="317"/>
      <c r="BS12" s="40">
        <v>0.04</v>
      </c>
      <c r="BT12" s="317"/>
      <c r="BU12" s="390">
        <f t="shared" si="57"/>
        <v>19541.366000000002</v>
      </c>
      <c r="BV12" s="317"/>
      <c r="BW12" s="40">
        <v>7.0000000000000007E-2</v>
      </c>
      <c r="BY12" s="48" t="s">
        <v>21</v>
      </c>
      <c r="BZ12" s="88">
        <v>19541.366000000002</v>
      </c>
      <c r="CA12" s="88">
        <v>232.131</v>
      </c>
      <c r="CB12" s="88">
        <v>5.5510000000000002</v>
      </c>
      <c r="CC12" s="88">
        <f>2754.406+5317.55</f>
        <v>8071.9560000000001</v>
      </c>
      <c r="CD12" s="313">
        <v>0.22500000000000001</v>
      </c>
      <c r="CE12" s="313"/>
      <c r="CF12" s="313"/>
      <c r="CG12" s="313"/>
      <c r="CH12" s="39"/>
      <c r="CI12" s="98">
        <v>10585.773999999999</v>
      </c>
      <c r="CJ12" s="33">
        <v>6476.2620000000006</v>
      </c>
      <c r="CK12" s="33">
        <v>8812.119999999999</v>
      </c>
      <c r="CL12" s="33">
        <v>8644.7989999999991</v>
      </c>
      <c r="CM12" s="33">
        <v>10573.514999999999</v>
      </c>
      <c r="CN12" s="33">
        <v>10657.560000000001</v>
      </c>
      <c r="CO12" s="33">
        <v>10631.483007025157</v>
      </c>
      <c r="CP12" s="33">
        <v>10683.7766875299</v>
      </c>
      <c r="CQ12" s="39"/>
      <c r="CR12" s="98">
        <v>502.75579900000002</v>
      </c>
      <c r="CS12" s="33">
        <v>356.48429850000002</v>
      </c>
      <c r="CT12" s="33">
        <v>477.24598400000002</v>
      </c>
      <c r="CU12" s="33">
        <v>478.96249999999998</v>
      </c>
      <c r="CV12" s="33">
        <v>470.25824825000001</v>
      </c>
      <c r="CW12" s="33">
        <v>500.81873350000001</v>
      </c>
      <c r="CX12" s="33">
        <v>502.755199</v>
      </c>
      <c r="CY12" s="33">
        <v>502.755199</v>
      </c>
      <c r="CZ12" s="39"/>
      <c r="DA12" s="33">
        <v>109.7055</v>
      </c>
      <c r="DB12" s="33">
        <v>1785.4045000000001</v>
      </c>
      <c r="DC12" s="33">
        <v>2690.614</v>
      </c>
      <c r="DD12" s="33">
        <v>5020.8374999999996</v>
      </c>
      <c r="DE12" s="33">
        <v>7036.7870000000003</v>
      </c>
      <c r="DF12" s="33">
        <v>8239.0681703796381</v>
      </c>
      <c r="DG12" s="33">
        <v>8628.1666373154167</v>
      </c>
      <c r="DH12" s="39"/>
      <c r="DI12" s="33">
        <f t="shared" si="28"/>
        <v>3385.7962032149999</v>
      </c>
      <c r="DJ12" s="33">
        <f t="shared" si="29"/>
        <v>6171.2950929599992</v>
      </c>
      <c r="DK12" s="33">
        <f t="shared" si="30"/>
        <v>7092.2793750000001</v>
      </c>
      <c r="DL12" s="33">
        <f t="shared" si="31"/>
        <v>9342.5108014174984</v>
      </c>
      <c r="DM12" s="326">
        <f t="shared" si="32"/>
        <v>11639.311160865</v>
      </c>
      <c r="DN12" s="326">
        <f t="shared" si="58"/>
        <v>12859.388449189639</v>
      </c>
      <c r="DO12" s="326">
        <f t="shared" si="58"/>
        <v>13248.486916125417</v>
      </c>
      <c r="DP12" s="39"/>
      <c r="DQ12" s="33">
        <v>390.43299999999999</v>
      </c>
      <c r="DR12" s="33">
        <v>595.39899999999989</v>
      </c>
      <c r="DS12" s="33">
        <v>720.89099999999985</v>
      </c>
      <c r="DT12" s="33">
        <v>823.82839667587155</v>
      </c>
      <c r="DU12" s="33">
        <v>1059.5910000000001</v>
      </c>
      <c r="DV12" s="33">
        <v>1136.833608227764</v>
      </c>
      <c r="DW12" s="33">
        <v>1188.1985905111087</v>
      </c>
      <c r="DX12"/>
      <c r="DY12" s="33">
        <v>356.61599999999999</v>
      </c>
      <c r="DZ12" s="33">
        <v>545.25699999999995</v>
      </c>
      <c r="EA12" s="33">
        <v>661.8309999999999</v>
      </c>
      <c r="EB12" s="33">
        <v>757.02808240070215</v>
      </c>
      <c r="EC12" s="33">
        <v>1006.7430000000002</v>
      </c>
      <c r="ED12" s="33">
        <v>1080.3797002288775</v>
      </c>
      <c r="EE12" s="33">
        <v>1128.5918029071395</v>
      </c>
      <c r="EG12" s="33">
        <v>378.40099999999995</v>
      </c>
      <c r="EH12" s="33">
        <v>491.99599999999992</v>
      </c>
      <c r="EI12" s="33">
        <v>530.40999999999985</v>
      </c>
      <c r="EJ12" s="33">
        <v>519.8306301727564</v>
      </c>
      <c r="EK12" s="33">
        <v>522.58100000000013</v>
      </c>
      <c r="EL12" s="33">
        <v>504.6383135315906</v>
      </c>
      <c r="EM12" s="33">
        <v>395.02436797990003</v>
      </c>
      <c r="EN12" s="322"/>
      <c r="EO12" s="33" t="s">
        <v>108</v>
      </c>
      <c r="EP12" s="33" t="s">
        <v>108</v>
      </c>
      <c r="EQ12" s="33" t="s">
        <v>108</v>
      </c>
      <c r="ER12" s="33" t="s">
        <v>108</v>
      </c>
      <c r="ES12" s="33" t="s">
        <v>108</v>
      </c>
      <c r="ET12" s="33" t="s">
        <v>108</v>
      </c>
      <c r="EU12" s="33" t="s">
        <v>108</v>
      </c>
      <c r="EW12" s="33">
        <v>333.18</v>
      </c>
      <c r="EX12" s="33">
        <v>473.04999999999995</v>
      </c>
      <c r="EY12" s="33">
        <v>535.20000000000005</v>
      </c>
      <c r="EZ12" s="33">
        <v>497.68600000000004</v>
      </c>
      <c r="FA12" s="33">
        <v>544.28</v>
      </c>
      <c r="FB12" s="33">
        <v>433.26330650643337</v>
      </c>
      <c r="FC12" s="33">
        <v>342.73068747515606</v>
      </c>
      <c r="FE12" s="52">
        <f t="shared" ref="FE12:FE17" si="64">+DY12/CS12</f>
        <v>1.0003694454441727</v>
      </c>
      <c r="FF12" s="52">
        <f t="shared" ref="FF12:FF17" si="65">+DZ12/CT12</f>
        <v>1.1425072568028145</v>
      </c>
      <c r="FG12" s="52">
        <f t="shared" ref="FG12:FG17" si="66">+EA12/CU12</f>
        <v>1.3818012892449825</v>
      </c>
      <c r="FH12" s="52">
        <f t="shared" ref="FH12:FH17" si="67">+EB12/CV12</f>
        <v>1.6098135125069593</v>
      </c>
      <c r="FI12" s="52">
        <f t="shared" ref="FI12:FI17" si="68">+EC12/CW12</f>
        <v>2.0101943730505445</v>
      </c>
      <c r="FJ12" s="52">
        <f t="shared" ref="FJ12:FJ17" si="69">+ED12/CX12</f>
        <v>2.1489180069699834</v>
      </c>
      <c r="FK12" s="52">
        <f t="shared" ref="FK12:FK17" si="70">+EE12/CY12</f>
        <v>2.2448137884042834</v>
      </c>
      <c r="FM12" s="52">
        <f t="shared" si="59"/>
        <v>1.0614801313612412</v>
      </c>
      <c r="FN12" s="52">
        <f t="shared" si="60"/>
        <v>1.0309065272302007</v>
      </c>
      <c r="FO12" s="52">
        <f t="shared" ref="FO12" si="71">+EI12/CU12</f>
        <v>1.1074144635540357</v>
      </c>
      <c r="FP12" s="52">
        <f t="shared" ref="FP12" si="72">+EJ12/CV12</f>
        <v>1.1054152311144632</v>
      </c>
      <c r="FQ12" s="52">
        <f t="shared" ref="FQ12" si="73">+EK12/CW12</f>
        <v>1.0434533795249896</v>
      </c>
      <c r="FR12" s="52">
        <f t="shared" si="41"/>
        <v>1.0037455893749805</v>
      </c>
      <c r="FS12" s="52">
        <f t="shared" ref="FS12" si="74">+EM12/CY12</f>
        <v>0.78571911094230185</v>
      </c>
      <c r="FT12" s="361"/>
      <c r="FU12" s="361"/>
      <c r="FV12" s="52"/>
      <c r="FW12" s="52"/>
      <c r="FX12" s="52"/>
      <c r="FY12" s="52"/>
      <c r="FZ12" s="52"/>
      <c r="GA12" s="52"/>
      <c r="GB12" s="52"/>
      <c r="GC12" s="361"/>
      <c r="GD12" s="52">
        <f>+EW12/CS12</f>
        <v>0.93462741950189987</v>
      </c>
      <c r="GE12" s="52">
        <f>+EX12/CT12</f>
        <v>0.99120792182506856</v>
      </c>
      <c r="GF12" s="52">
        <f>+EY12/CU12</f>
        <v>1.1174152464963334</v>
      </c>
      <c r="GG12" s="52">
        <f t="shared" ref="GG12:GG18" si="75">+EZ12/CV12</f>
        <v>1.0583248711789077</v>
      </c>
      <c r="GH12" s="52">
        <f t="shared" ref="GH12:GH18" si="76">+FA12/CW12</f>
        <v>1.0867804329048725</v>
      </c>
      <c r="GI12" s="52">
        <f t="shared" ref="GI12:GI18" si="77">+FB12/CX12</f>
        <v>0.86177787393986427</v>
      </c>
      <c r="GJ12" s="52">
        <f t="shared" ref="GJ12:GJ18" si="78">+FC12/CY12</f>
        <v>0.68170490957997243</v>
      </c>
      <c r="GL12" s="52">
        <f t="shared" ref="GL12:GL17" si="79">+CJ12/CS12</f>
        <v>18.167032958395502</v>
      </c>
      <c r="GM12" s="52">
        <f t="shared" ref="GM12:GM17" si="80">+CK12/CT12</f>
        <v>18.464524156163456</v>
      </c>
      <c r="GN12" s="52">
        <f t="shared" ref="GN12:GN17" si="81">+CL12/CU12</f>
        <v>18.04901009995563</v>
      </c>
      <c r="GO12" s="52">
        <f t="shared" ref="GO12:GO17" si="82">+CM12/CV12</f>
        <v>22.484486001782745</v>
      </c>
      <c r="GP12" s="52">
        <f>+CN12/CW12</f>
        <v>21.280274253159504</v>
      </c>
      <c r="GQ12" s="52">
        <f t="shared" ref="GQ12:GQ17" si="83">+CO12/CX12</f>
        <v>21.146440709457799</v>
      </c>
      <c r="GR12" s="52">
        <f t="shared" ref="GR12:GR17" si="84">+CP12/CY12</f>
        <v>21.250454910820128</v>
      </c>
    </row>
    <row r="13" spans="1:200" ht="11.45" customHeight="1">
      <c r="A13" s="37">
        <f t="shared" si="63"/>
        <v>19.123999999999999</v>
      </c>
      <c r="B13" s="64">
        <f t="shared" si="63"/>
        <v>3.1419999999999997E-2</v>
      </c>
      <c r="D13" s="19"/>
      <c r="E13" s="27" t="s">
        <v>34</v>
      </c>
      <c r="F13" s="27" t="s">
        <v>129</v>
      </c>
      <c r="G13" s="28">
        <f>+Bloomberg!F38</f>
        <v>32.72</v>
      </c>
      <c r="H13" s="29">
        <f t="shared" si="1"/>
        <v>1353.3528550512447</v>
      </c>
      <c r="I13" s="29"/>
      <c r="J13" s="30">
        <f t="shared" si="2"/>
        <v>6.9703930787408372E-2</v>
      </c>
      <c r="K13" s="30">
        <f t="shared" si="2"/>
        <v>6.6838038449727785E-2</v>
      </c>
      <c r="L13" s="30">
        <f t="shared" si="2"/>
        <v>7.8059154822024801E-2</v>
      </c>
      <c r="M13" s="30">
        <f t="shared" si="2"/>
        <v>8.4257236143023745E-2</v>
      </c>
      <c r="N13" s="30">
        <f t="shared" si="2"/>
        <v>8.9726406810787862E-2</v>
      </c>
      <c r="O13" s="30">
        <f t="shared" si="2"/>
        <v>8.9877389043090353E-2</v>
      </c>
      <c r="P13" s="30">
        <f t="shared" si="2"/>
        <v>9.4919500142380667E-2</v>
      </c>
      <c r="Q13" s="31"/>
      <c r="R13" s="30">
        <f t="shared" si="3"/>
        <v>5.5619943763050718E-2</v>
      </c>
      <c r="S13" s="30">
        <f t="shared" si="4"/>
        <v>5.7280874361725791E-2</v>
      </c>
      <c r="T13" s="30">
        <f t="shared" si="5"/>
        <v>8.5195599022004895E-2</v>
      </c>
      <c r="U13" s="30">
        <f t="shared" si="6"/>
        <v>6.3718431587162117E-2</v>
      </c>
      <c r="V13" s="30">
        <f t="shared" si="7"/>
        <v>7.252428270850407E-2</v>
      </c>
      <c r="W13" s="30">
        <f t="shared" si="8"/>
        <v>8.1086143971897243E-2</v>
      </c>
      <c r="X13" s="30">
        <f t="shared" si="9"/>
        <v>7.7465005658348213E-2</v>
      </c>
      <c r="Y13" s="30">
        <f t="shared" si="10"/>
        <v>8.121708045378663E-2</v>
      </c>
      <c r="Z13" s="31"/>
      <c r="AA13" s="57">
        <f t="shared" si="11"/>
        <v>0.83509759770536951</v>
      </c>
      <c r="AB13" s="57">
        <f t="shared" si="12"/>
        <v>0.94405335923550593</v>
      </c>
      <c r="AC13" s="57">
        <f t="shared" si="13"/>
        <v>0.80191513703011341</v>
      </c>
      <c r="AD13" s="57">
        <f t="shared" si="14"/>
        <v>0.81305848688095217</v>
      </c>
      <c r="AE13" s="57">
        <f t="shared" si="51"/>
        <v>0.90661444058310281</v>
      </c>
      <c r="AF13" s="57">
        <f t="shared" si="15"/>
        <v>0.94052968819788407</v>
      </c>
      <c r="AG13" s="57">
        <f t="shared" si="16"/>
        <v>0.91798521086708074</v>
      </c>
      <c r="AH13" s="31"/>
      <c r="AI13" s="30">
        <f t="shared" si="17"/>
        <v>6.5443275704784684E-2</v>
      </c>
      <c r="AJ13" s="31"/>
      <c r="AK13" s="30">
        <f t="shared" si="18"/>
        <v>6.9747014323278247E-2</v>
      </c>
      <c r="AL13" s="30">
        <f t="shared" si="19"/>
        <v>7.8812076044375748E-2</v>
      </c>
      <c r="AM13" s="30">
        <f t="shared" si="20"/>
        <v>7.0710539623152976E-2</v>
      </c>
      <c r="AN13" s="30">
        <f t="shared" si="21"/>
        <v>7.343297564130892E-2</v>
      </c>
      <c r="AO13" s="30">
        <f t="shared" si="22"/>
        <v>7.3977413580723267E-2</v>
      </c>
      <c r="AP13" s="30">
        <f t="shared" si="23"/>
        <v>7.7297573922459437E-2</v>
      </c>
      <c r="AQ13" s="31"/>
      <c r="AR13" s="30">
        <f t="shared" si="52"/>
        <v>7.446043681222464E-2</v>
      </c>
      <c r="AS13" s="30">
        <f t="shared" si="52"/>
        <v>7.8712091545869334E-2</v>
      </c>
      <c r="AT13" s="30">
        <f t="shared" si="52"/>
        <v>8.7935408155928985E-2</v>
      </c>
      <c r="AU13" s="30">
        <f t="shared" si="52"/>
        <v>7.8365913155219874E-2</v>
      </c>
      <c r="AV13" s="30">
        <f t="shared" si="52"/>
        <v>8.1755393090720913E-2</v>
      </c>
      <c r="AW13" s="30">
        <f t="shared" si="52"/>
        <v>8.2372593705343708E-2</v>
      </c>
      <c r="AX13" s="30">
        <f t="shared" si="53"/>
        <v>8.5555080766874944E-2</v>
      </c>
      <c r="AY13" s="31"/>
      <c r="AZ13" s="30">
        <f t="shared" si="54"/>
        <v>4.255741358072327E-2</v>
      </c>
      <c r="BA13" s="30">
        <f t="shared" si="25"/>
        <v>4.255741358072327E-2</v>
      </c>
      <c r="BB13" s="19"/>
      <c r="BC13" s="25"/>
      <c r="BD13" s="18"/>
      <c r="BE13" s="320"/>
      <c r="BF13" s="41">
        <v>0.97</v>
      </c>
      <c r="BG13" s="317"/>
      <c r="BH13" s="41">
        <v>1</v>
      </c>
      <c r="BI13" s="317"/>
      <c r="BJ13" s="41">
        <f t="shared" si="26"/>
        <v>0.40765395994749637</v>
      </c>
      <c r="BK13" s="321"/>
      <c r="BL13" s="321"/>
      <c r="BM13" s="41">
        <f t="shared" si="27"/>
        <v>0.38216826588375075</v>
      </c>
      <c r="BN13" s="317"/>
      <c r="BO13" s="41">
        <f t="shared" si="55"/>
        <v>0.45978180872313446</v>
      </c>
      <c r="BP13" s="317"/>
      <c r="BQ13" s="41">
        <f t="shared" si="56"/>
        <v>0.43103718788171641</v>
      </c>
      <c r="BR13" s="317"/>
      <c r="BS13" s="41">
        <v>0.05</v>
      </c>
      <c r="BT13" s="317"/>
      <c r="BU13" s="391">
        <f t="shared" si="57"/>
        <v>50219.781999999999</v>
      </c>
      <c r="BV13" s="317"/>
      <c r="BW13" s="41">
        <f>+CA13/(H13*A13)</f>
        <v>4.9451732355750358E-2</v>
      </c>
      <c r="BY13" s="48" t="s">
        <v>21</v>
      </c>
      <c r="BZ13" s="88">
        <v>50219.781999999999</v>
      </c>
      <c r="CA13" s="88">
        <f>1274.241+5.645</f>
        <v>1279.886</v>
      </c>
      <c r="CB13" s="88">
        <v>103.688</v>
      </c>
      <c r="CC13" s="88">
        <f>19998.439+473.854</f>
        <v>20472.292999999998</v>
      </c>
      <c r="CD13" s="313">
        <v>0.69689999999999996</v>
      </c>
      <c r="CE13" s="313"/>
      <c r="CF13" s="313"/>
      <c r="CG13" s="313"/>
      <c r="CH13" s="39"/>
      <c r="CI13" s="99">
        <v>29028.93</v>
      </c>
      <c r="CJ13" s="34">
        <v>18182.624000000003</v>
      </c>
      <c r="CK13" s="34">
        <v>21045.338999999996</v>
      </c>
      <c r="CL13" s="34">
        <v>24780.429000000004</v>
      </c>
      <c r="CM13" s="34">
        <v>29061.559999999994</v>
      </c>
      <c r="CN13" s="34">
        <v>28545.634000000002</v>
      </c>
      <c r="CO13" s="34">
        <v>27504.10999738413</v>
      </c>
      <c r="CP13" s="34">
        <v>28179.573803336149</v>
      </c>
      <c r="CQ13" s="39"/>
      <c r="CR13" s="99">
        <v>791</v>
      </c>
      <c r="CS13" s="34">
        <v>464.06679775000003</v>
      </c>
      <c r="CT13" s="34">
        <v>607.21036000000004</v>
      </c>
      <c r="CU13" s="34">
        <v>607.32888500000001</v>
      </c>
      <c r="CV13" s="34">
        <v>722.15</v>
      </c>
      <c r="CW13" s="34">
        <v>790.95</v>
      </c>
      <c r="CX13" s="34">
        <v>790.6</v>
      </c>
      <c r="CY13" s="34">
        <v>790.6</v>
      </c>
      <c r="CZ13" s="39"/>
      <c r="DA13" s="34">
        <v>7354.9789999999994</v>
      </c>
      <c r="DB13" s="34">
        <v>5006.3747499999999</v>
      </c>
      <c r="DC13" s="34">
        <v>8100.4349999999986</v>
      </c>
      <c r="DD13" s="34">
        <v>16591.366500000004</v>
      </c>
      <c r="DE13" s="34">
        <v>18422.147499999999</v>
      </c>
      <c r="DF13" s="34">
        <v>18657.672799260865</v>
      </c>
      <c r="DG13" s="34">
        <v>18628.640634738804</v>
      </c>
      <c r="DH13" s="39"/>
      <c r="DI13" s="34">
        <f t="shared" si="28"/>
        <v>22539.24462238</v>
      </c>
      <c r="DJ13" s="34">
        <f t="shared" si="29"/>
        <v>24874.2977292</v>
      </c>
      <c r="DK13" s="34">
        <f t="shared" si="30"/>
        <v>27972.236117199998</v>
      </c>
      <c r="DL13" s="34">
        <f t="shared" si="31"/>
        <v>40220.114500000003</v>
      </c>
      <c r="DM13" s="327">
        <f t="shared" si="32"/>
        <v>44302.031499999997</v>
      </c>
      <c r="DN13" s="327">
        <f t="shared" si="58"/>
        <v>44526.104799260866</v>
      </c>
      <c r="DO13" s="327">
        <f t="shared" si="58"/>
        <v>44497.072634738804</v>
      </c>
      <c r="DP13" s="39"/>
      <c r="DQ13" s="34">
        <v>1678.2819999999999</v>
      </c>
      <c r="DR13" s="34">
        <v>1957.9079999999999</v>
      </c>
      <c r="DS13" s="34">
        <v>2459.75</v>
      </c>
      <c r="DT13" s="34">
        <v>3151.886</v>
      </c>
      <c r="DU13" s="34">
        <v>3621.9300000000003</v>
      </c>
      <c r="DV13" s="34">
        <v>3667.7307399110696</v>
      </c>
      <c r="DW13" s="34">
        <v>3806.9506431545792</v>
      </c>
      <c r="DX13"/>
      <c r="DY13" s="34">
        <v>1475.0419999999999</v>
      </c>
      <c r="DZ13" s="34">
        <v>1734.9079999999999</v>
      </c>
      <c r="EA13" s="34">
        <v>2204.5500000000002</v>
      </c>
      <c r="EB13" s="34">
        <v>2843.9859999999999</v>
      </c>
      <c r="EC13" s="34">
        <v>3253.23</v>
      </c>
      <c r="ED13" s="34">
        <v>3293.9260698735479</v>
      </c>
      <c r="EE13" s="34">
        <v>3439.5157613167694</v>
      </c>
      <c r="EG13" s="34">
        <v>1058.4029999999998</v>
      </c>
      <c r="EH13" s="34">
        <v>1327.933</v>
      </c>
      <c r="EI13" s="34">
        <v>1551.1760000000002</v>
      </c>
      <c r="EJ13" s="34">
        <v>1990.8929999999998</v>
      </c>
      <c r="EK13" s="34">
        <v>2322.1089999999999</v>
      </c>
      <c r="EL13" s="34">
        <v>2324.9871267987278</v>
      </c>
      <c r="EM13" s="34">
        <v>2455.4186349071647</v>
      </c>
      <c r="EN13" s="322"/>
      <c r="EO13" s="34">
        <v>917.60299999999984</v>
      </c>
      <c r="EP13" s="34">
        <v>1159.3330000000001</v>
      </c>
      <c r="EQ13" s="34">
        <v>1392.4760000000001</v>
      </c>
      <c r="ER13" s="34">
        <v>1802.5929999999998</v>
      </c>
      <c r="ES13" s="34">
        <v>2105.509</v>
      </c>
      <c r="ET13" s="34">
        <v>1999.0736403121311</v>
      </c>
      <c r="EU13" s="34">
        <v>2126.1223248232441</v>
      </c>
      <c r="EW13" s="34">
        <v>844.548</v>
      </c>
      <c r="EX13" s="34">
        <v>1138.0519999999999</v>
      </c>
      <c r="EY13" s="34">
        <v>1266.1999999999998</v>
      </c>
      <c r="EZ13" s="34">
        <v>1713.6579999999999</v>
      </c>
      <c r="FA13" s="34">
        <v>2098.5</v>
      </c>
      <c r="FB13" s="34">
        <v>2003.8982312525959</v>
      </c>
      <c r="FC13" s="34">
        <v>2100.9585229573086</v>
      </c>
      <c r="FE13" s="54">
        <f t="shared" si="64"/>
        <v>3.1785122468395763</v>
      </c>
      <c r="FF13" s="54">
        <f t="shared" si="65"/>
        <v>2.8571778650153461</v>
      </c>
      <c r="FG13" s="54">
        <f t="shared" si="66"/>
        <v>3.6299113288510889</v>
      </c>
      <c r="FH13" s="54">
        <f t="shared" si="67"/>
        <v>3.9382205912898982</v>
      </c>
      <c r="FI13" s="54">
        <f t="shared" si="68"/>
        <v>4.1130665655224732</v>
      </c>
      <c r="FJ13" s="54">
        <f t="shared" si="69"/>
        <v>4.1663623448944449</v>
      </c>
      <c r="FK13" s="54">
        <f t="shared" si="70"/>
        <v>4.3505132321234115</v>
      </c>
      <c r="FL13" s="55"/>
      <c r="FM13" s="54">
        <f t="shared" ref="FM13:FM18" si="85">+EG13/CS13</f>
        <v>2.2807126153640018</v>
      </c>
      <c r="FN13" s="54">
        <f t="shared" ref="FN13:FN18" si="86">+EH13/CT13</f>
        <v>2.1869406180750932</v>
      </c>
      <c r="FO13" s="54">
        <f>+EI13/CU13</f>
        <v>2.5540955457766512</v>
      </c>
      <c r="FP13" s="54">
        <f>+EJ13/CV13</f>
        <v>2.7568967665997368</v>
      </c>
      <c r="FQ13" s="54">
        <f>+EK13/CW13</f>
        <v>2.9358480308489789</v>
      </c>
      <c r="FR13" s="54">
        <f t="shared" si="41"/>
        <v>2.9407881694899163</v>
      </c>
      <c r="FS13" s="54">
        <f>+EM13/CY13</f>
        <v>3.1057660446586954</v>
      </c>
      <c r="FT13" s="362"/>
      <c r="FU13" s="363"/>
      <c r="FV13" s="54">
        <f t="shared" ref="FV13:FV15" si="87">+EO13/CS13</f>
        <v>1.9773080178304994</v>
      </c>
      <c r="FW13" s="54">
        <f t="shared" ref="FW13:FW15" si="88">+EP13/CT13</f>
        <v>1.9092773713544677</v>
      </c>
      <c r="FX13" s="54">
        <f t="shared" ref="FX13:FX15" si="89">+EQ13/CU13</f>
        <v>2.2927873749986385</v>
      </c>
      <c r="FY13" s="54">
        <f t="shared" ref="FY13:FY15" si="90">+ER13/CV13</f>
        <v>2.4961476147614761</v>
      </c>
      <c r="FZ13" s="54">
        <f t="shared" ref="FZ13:FZ15" si="91">+ES13/CW13</f>
        <v>2.6620001264302422</v>
      </c>
      <c r="GA13" s="54">
        <f t="shared" ref="GA13:GA15" si="92">+ET13/CX13</f>
        <v>2.528552542767684</v>
      </c>
      <c r="GB13" s="54">
        <f t="shared" ref="GB13:GB15" si="93">+EU13/CY13</f>
        <v>2.689251612475644</v>
      </c>
      <c r="GC13" s="363"/>
      <c r="GD13" s="54">
        <f t="shared" ref="GD13" si="94">+EW13/CS13</f>
        <v>1.8198845599270195</v>
      </c>
      <c r="GE13" s="54">
        <f t="shared" ref="GE13" si="95">+EX13/CT13</f>
        <v>1.8742302091156677</v>
      </c>
      <c r="GF13" s="54">
        <f t="shared" ref="GF13" si="96">+EY13/CU13</f>
        <v>2.0848670815319443</v>
      </c>
      <c r="GG13" s="54">
        <f t="shared" si="75"/>
        <v>2.372994530222253</v>
      </c>
      <c r="GH13" s="54">
        <f t="shared" si="76"/>
        <v>2.6531386307604778</v>
      </c>
      <c r="GI13" s="54">
        <f t="shared" si="77"/>
        <v>2.5346549851411533</v>
      </c>
      <c r="GJ13" s="54">
        <f t="shared" si="78"/>
        <v>2.6574228724478983</v>
      </c>
      <c r="GK13" s="55"/>
      <c r="GL13" s="54">
        <f t="shared" si="79"/>
        <v>39.181049125163369</v>
      </c>
      <c r="GM13" s="54">
        <f t="shared" si="80"/>
        <v>34.659057859289483</v>
      </c>
      <c r="GN13" s="54">
        <f t="shared" si="81"/>
        <v>40.802322451697655</v>
      </c>
      <c r="GO13" s="54">
        <f t="shared" si="82"/>
        <v>40.243107387661837</v>
      </c>
      <c r="GP13" s="54">
        <f t="shared" ref="GP13" si="97">+CN13/CW13</f>
        <v>36.090314179151655</v>
      </c>
      <c r="GQ13" s="54">
        <f t="shared" si="83"/>
        <v>34.788907155810939</v>
      </c>
      <c r="GR13" s="54">
        <f t="shared" si="84"/>
        <v>35.643275744164114</v>
      </c>
    </row>
    <row r="14" spans="1:200" ht="11.45" customHeight="1">
      <c r="A14" s="37">
        <f>+A22</f>
        <v>19.123999999999999</v>
      </c>
      <c r="B14" s="64">
        <f>+B22</f>
        <v>3.1419999999999997E-2</v>
      </c>
      <c r="D14" s="6"/>
      <c r="E14" s="20" t="s">
        <v>24</v>
      </c>
      <c r="F14" s="20" t="s">
        <v>5</v>
      </c>
      <c r="G14" s="21">
        <f>+Bloomberg!F39</f>
        <v>29.03</v>
      </c>
      <c r="H14" s="22">
        <f t="shared" si="1"/>
        <v>2100.6422906583352</v>
      </c>
      <c r="I14" s="22"/>
      <c r="J14" s="23">
        <f t="shared" si="2"/>
        <v>5.3169970099066849E-2</v>
      </c>
      <c r="K14" s="23">
        <f t="shared" si="2"/>
        <v>4.5214600706932874E-2</v>
      </c>
      <c r="L14" s="23">
        <f t="shared" si="2"/>
        <v>6.2901293142219122E-2</v>
      </c>
      <c r="M14" s="23">
        <f t="shared" si="2"/>
        <v>8.0541672524707175E-2</v>
      </c>
      <c r="N14" s="23">
        <f t="shared" si="2"/>
        <v>9.3060675018652117E-2</v>
      </c>
      <c r="O14" s="23">
        <f t="shared" si="2"/>
        <v>0.10048222208113627</v>
      </c>
      <c r="P14" s="23">
        <f t="shared" si="2"/>
        <v>9.5289286792504285E-2</v>
      </c>
      <c r="Q14" s="24"/>
      <c r="R14" s="23">
        <f t="shared" si="3"/>
        <v>6.1315880122317271E-2</v>
      </c>
      <c r="S14" s="23">
        <f t="shared" si="4"/>
        <v>6.2756347413533059E-2</v>
      </c>
      <c r="T14" s="23">
        <f t="shared" si="5"/>
        <v>8.5428866689631414E-2</v>
      </c>
      <c r="U14" s="23">
        <f t="shared" si="6"/>
        <v>6.9062663045698983E-2</v>
      </c>
      <c r="V14" s="23">
        <f t="shared" si="7"/>
        <v>7.290452555951224E-2</v>
      </c>
      <c r="W14" s="23">
        <f t="shared" si="8"/>
        <v>8.0341101955275246E-2</v>
      </c>
      <c r="X14" s="23">
        <f t="shared" si="9"/>
        <v>8.4673016887763602E-2</v>
      </c>
      <c r="Y14" s="23">
        <f t="shared" si="10"/>
        <v>8.289945467159851E-2</v>
      </c>
      <c r="Z14" s="24"/>
      <c r="AA14" s="56">
        <f t="shared" si="11"/>
        <v>0.53818561990891922</v>
      </c>
      <c r="AB14" s="56">
        <f t="shared" si="12"/>
        <v>0.67631474936845448</v>
      </c>
      <c r="AC14" s="56">
        <f t="shared" si="13"/>
        <v>0.7040027568493914</v>
      </c>
      <c r="AD14" s="56">
        <f t="shared" si="14"/>
        <v>0.71052059131079759</v>
      </c>
      <c r="AE14" s="56">
        <f t="shared" si="51"/>
        <v>0.72264229627649434</v>
      </c>
      <c r="AF14" s="56">
        <f t="shared" si="15"/>
        <v>0.7273715758269963</v>
      </c>
      <c r="AG14" s="56">
        <f t="shared" si="16"/>
        <v>0.75058868121488953</v>
      </c>
      <c r="AH14" s="24"/>
      <c r="AI14" s="23">
        <f t="shared" si="17"/>
        <v>5.2918357300097231E-2</v>
      </c>
      <c r="AJ14" s="24"/>
      <c r="AK14" s="23">
        <f t="shared" si="18"/>
        <v>4.5475765068261571E-2</v>
      </c>
      <c r="AL14" s="23">
        <f t="shared" si="19"/>
        <v>5.3832808659120004E-2</v>
      </c>
      <c r="AM14" s="23">
        <f t="shared" si="20"/>
        <v>7.1785772860878658E-2</v>
      </c>
      <c r="AN14" s="23">
        <f t="shared" si="21"/>
        <v>8.6531394264769496E-2</v>
      </c>
      <c r="AO14" s="23">
        <f t="shared" si="22"/>
        <v>9.3928898181077941E-2</v>
      </c>
      <c r="AP14" s="23">
        <f t="shared" si="23"/>
        <v>8.9209964573534639E-2</v>
      </c>
      <c r="AQ14" s="24"/>
      <c r="AR14" s="23">
        <f t="shared" si="52"/>
        <v>6.2283740267549847E-2</v>
      </c>
      <c r="AS14" s="23">
        <f t="shared" si="52"/>
        <v>5.7731005769023847E-2</v>
      </c>
      <c r="AT14" s="23">
        <f t="shared" si="52"/>
        <v>5.4149410839527075E-2</v>
      </c>
      <c r="AU14" s="23">
        <f t="shared" si="52"/>
        <v>7.3775505141088271E-2</v>
      </c>
      <c r="AV14" s="23">
        <f t="shared" si="52"/>
        <v>8.9044154982180615E-2</v>
      </c>
      <c r="AW14" s="23">
        <f t="shared" si="52"/>
        <v>9.617655951369633E-2</v>
      </c>
      <c r="AX14" s="23">
        <f t="shared" si="53"/>
        <v>9.1574056626930897E-2</v>
      </c>
      <c r="AY14" s="24"/>
      <c r="AZ14" s="23">
        <f t="shared" si="54"/>
        <v>6.2508898181077938E-2</v>
      </c>
      <c r="BA14" s="23">
        <f t="shared" si="25"/>
        <v>6.2508898181077938E-2</v>
      </c>
      <c r="BB14" s="6"/>
      <c r="BC14" s="25"/>
      <c r="BD14" s="25"/>
      <c r="BE14" s="320"/>
      <c r="BF14" s="40">
        <v>0.29099999999999998</v>
      </c>
      <c r="BG14" s="317"/>
      <c r="BH14" s="40">
        <v>0</v>
      </c>
      <c r="BI14" s="317"/>
      <c r="BJ14" s="40">
        <f t="shared" si="26"/>
        <v>0.10050706132711715</v>
      </c>
      <c r="BK14" s="321"/>
      <c r="BL14" s="321"/>
      <c r="BM14" s="40">
        <f t="shared" si="27"/>
        <v>7.8007198718711618E-2</v>
      </c>
      <c r="BN14" s="317"/>
      <c r="BO14" s="40">
        <f t="shared" si="55"/>
        <v>0.13777528218968838</v>
      </c>
      <c r="BP14" s="317"/>
      <c r="BQ14" s="40">
        <f t="shared" si="56"/>
        <v>0.10693242518869556</v>
      </c>
      <c r="BR14" s="317"/>
      <c r="BS14" s="40">
        <v>0.03</v>
      </c>
      <c r="BT14" s="317"/>
      <c r="BU14" s="390">
        <f t="shared" si="57"/>
        <v>65376.943433</v>
      </c>
      <c r="BV14" s="317"/>
      <c r="BW14" s="40">
        <v>0.05</v>
      </c>
      <c r="BY14" s="48" t="s">
        <v>21</v>
      </c>
      <c r="BZ14" s="88">
        <v>65376.943433</v>
      </c>
      <c r="CA14" s="88">
        <v>1470.9722449999999</v>
      </c>
      <c r="CB14" s="88">
        <v>60.098939999999999</v>
      </c>
      <c r="CC14" s="88">
        <f>1104.841903+5466.00256</f>
        <v>6570.8444629999995</v>
      </c>
      <c r="CD14" s="313">
        <v>0.62</v>
      </c>
      <c r="CE14" s="313"/>
      <c r="CF14" s="313"/>
      <c r="CG14" s="313"/>
      <c r="CH14" s="39"/>
      <c r="CI14" s="98">
        <v>56830.957531</v>
      </c>
      <c r="CJ14" s="33">
        <v>43917</v>
      </c>
      <c r="CK14" s="33">
        <v>48003.885257000002</v>
      </c>
      <c r="CL14" s="33">
        <v>51734.340816000004</v>
      </c>
      <c r="CM14" s="33">
        <v>55953.241202759003</v>
      </c>
      <c r="CN14" s="33">
        <v>56208.103891000006</v>
      </c>
      <c r="CO14" s="33">
        <v>56483.480617128254</v>
      </c>
      <c r="CP14" s="33">
        <v>56938.510324317336</v>
      </c>
      <c r="CQ14" s="39"/>
      <c r="CR14" s="98">
        <v>1383.8333849999999</v>
      </c>
      <c r="CS14" s="33">
        <v>814.17491800000005</v>
      </c>
      <c r="CT14" s="33">
        <v>1118.35121</v>
      </c>
      <c r="CU14" s="33">
        <v>1254.6027749999998</v>
      </c>
      <c r="CV14" s="33">
        <v>1369.4774380000001</v>
      </c>
      <c r="CW14" s="33">
        <v>1399.185438</v>
      </c>
      <c r="CX14" s="33">
        <v>1415.2421048802678</v>
      </c>
      <c r="CY14" s="33">
        <v>1472.1805502814234</v>
      </c>
      <c r="CZ14" s="39"/>
      <c r="DA14" s="33">
        <v>-3637.8003220000001</v>
      </c>
      <c r="DB14" s="33">
        <v>-2362.063001</v>
      </c>
      <c r="DC14" s="33">
        <v>4891.720738</v>
      </c>
      <c r="DD14" s="33">
        <v>5300.2063665133874</v>
      </c>
      <c r="DE14" s="33">
        <v>6013.5783740669985</v>
      </c>
      <c r="DF14" s="33">
        <v>6607.9985937094652</v>
      </c>
      <c r="DG14" s="33">
        <v>7206.4104879041151</v>
      </c>
      <c r="DH14" s="39"/>
      <c r="DI14" s="33">
        <f t="shared" si="28"/>
        <v>19997.697547540003</v>
      </c>
      <c r="DJ14" s="33">
        <f t="shared" si="29"/>
        <v>30103.672625300005</v>
      </c>
      <c r="DK14" s="33">
        <f t="shared" si="30"/>
        <v>41312.839296249993</v>
      </c>
      <c r="DL14" s="33">
        <f t="shared" si="31"/>
        <v>45056.136391653396</v>
      </c>
      <c r="DM14" s="326">
        <f t="shared" si="32"/>
        <v>46631.931639207003</v>
      </c>
      <c r="DN14" s="326">
        <f t="shared" si="58"/>
        <v>47692.47689838364</v>
      </c>
      <c r="DO14" s="326">
        <f t="shared" si="58"/>
        <v>49943.811862573843</v>
      </c>
      <c r="DP14" s="39"/>
      <c r="DQ14" s="33">
        <v>1245.5314000000001</v>
      </c>
      <c r="DR14" s="33">
        <v>1737.9152979999999</v>
      </c>
      <c r="DS14" s="33">
        <v>2237.0659079999996</v>
      </c>
      <c r="DT14" s="33">
        <v>3324.0392219999994</v>
      </c>
      <c r="DU14" s="33">
        <v>4152.3009480000001</v>
      </c>
      <c r="DV14" s="33">
        <v>4586.8983427729818</v>
      </c>
      <c r="DW14" s="33">
        <v>4573.5574556681204</v>
      </c>
      <c r="DX14"/>
      <c r="DY14" s="33">
        <v>1058.245304</v>
      </c>
      <c r="DZ14" s="33">
        <v>1368.9875440000001</v>
      </c>
      <c r="EA14" s="33">
        <v>2223.9861729999998</v>
      </c>
      <c r="EB14" s="33">
        <v>3234.3895729999995</v>
      </c>
      <c r="EC14" s="33">
        <v>4035.1260620000003</v>
      </c>
      <c r="ED14" s="33">
        <v>4479.7018065916891</v>
      </c>
      <c r="EE14" s="33">
        <v>4455.4856869274918</v>
      </c>
      <c r="EG14" s="33">
        <v>1256.698715</v>
      </c>
      <c r="EH14" s="33">
        <v>1467.9252730000001</v>
      </c>
      <c r="EI14" s="33">
        <v>2290.9354550000003</v>
      </c>
      <c r="EJ14" s="33">
        <v>3202.0090970000001</v>
      </c>
      <c r="EK14" s="33">
        <v>3779.9713730000003</v>
      </c>
      <c r="EL14" s="33">
        <v>4128.2596730978958</v>
      </c>
      <c r="EM14" s="33">
        <v>4072.4164963572703</v>
      </c>
      <c r="EN14" s="322"/>
      <c r="EO14" s="33">
        <v>1630.0581999999999</v>
      </c>
      <c r="EP14" s="33">
        <v>2223.1929209999998</v>
      </c>
      <c r="EQ14" s="33">
        <v>2265.2000170000006</v>
      </c>
      <c r="ER14" s="33">
        <v>3180.7314609999999</v>
      </c>
      <c r="ES14" s="33">
        <v>3767.9428000000003</v>
      </c>
      <c r="ET14" s="33">
        <v>4097.8961923562711</v>
      </c>
      <c r="EU14" s="33">
        <v>4056.3222328438837</v>
      </c>
      <c r="EW14" s="33">
        <v>1449.231354</v>
      </c>
      <c r="EX14" s="33">
        <v>2037.4309840000001</v>
      </c>
      <c r="EY14" s="33">
        <v>2515.339438735873</v>
      </c>
      <c r="EZ14" s="33">
        <v>2898.3872166599999</v>
      </c>
      <c r="FA14" s="33">
        <v>3263.3232609300003</v>
      </c>
      <c r="FB14" s="33">
        <v>3478.7467253166333</v>
      </c>
      <c r="FC14" s="33">
        <v>3542.9072680413447</v>
      </c>
      <c r="FE14" s="52">
        <f t="shared" si="64"/>
        <v>1.299776351007659</v>
      </c>
      <c r="FF14" s="52">
        <f t="shared" si="65"/>
        <v>1.2241123644870022</v>
      </c>
      <c r="FG14" s="52">
        <f t="shared" si="66"/>
        <v>1.7726616083724189</v>
      </c>
      <c r="FH14" s="52">
        <f t="shared" si="67"/>
        <v>2.361769156068418</v>
      </c>
      <c r="FI14" s="52">
        <f t="shared" si="68"/>
        <v>2.8839108472768427</v>
      </c>
      <c r="FJ14" s="52">
        <f t="shared" si="69"/>
        <v>3.1653254175692296</v>
      </c>
      <c r="FK14" s="52">
        <f t="shared" si="70"/>
        <v>3.0264533015843589</v>
      </c>
      <c r="FM14" s="52">
        <f t="shared" si="85"/>
        <v>1.5435242319759106</v>
      </c>
      <c r="FN14" s="52">
        <f t="shared" si="86"/>
        <v>1.3125798585222614</v>
      </c>
      <c r="FO14" s="52">
        <f t="shared" ref="FO14" si="98">+EI14/CU14</f>
        <v>1.8260245399186212</v>
      </c>
      <c r="FP14" s="52">
        <f t="shared" ref="FP14" si="99">+EJ14/CV14</f>
        <v>2.3381247533922496</v>
      </c>
      <c r="FQ14" s="52">
        <f t="shared" ref="FQ14" si="100">+EK14/CW14</f>
        <v>2.701551395791471</v>
      </c>
      <c r="FR14" s="52">
        <f t="shared" si="41"/>
        <v>2.9169989070153863</v>
      </c>
      <c r="FS14" s="52">
        <f t="shared" ref="FS14" si="101">+EM14/CY14</f>
        <v>2.7662479955863994</v>
      </c>
      <c r="FT14" s="361"/>
      <c r="FU14" s="361"/>
      <c r="FV14" s="52">
        <f t="shared" si="87"/>
        <v>2.0020982763804569</v>
      </c>
      <c r="FW14" s="52">
        <f t="shared" si="88"/>
        <v>1.987920164185274</v>
      </c>
      <c r="FX14" s="52">
        <f t="shared" si="89"/>
        <v>1.8055117222261849</v>
      </c>
      <c r="FY14" s="52">
        <f t="shared" si="90"/>
        <v>2.3225877058954509</v>
      </c>
      <c r="FZ14" s="52">
        <f t="shared" si="91"/>
        <v>2.6929545560350525</v>
      </c>
      <c r="GA14" s="52">
        <f t="shared" si="92"/>
        <v>2.895544287599443</v>
      </c>
      <c r="GB14" s="52">
        <f t="shared" si="93"/>
        <v>2.7553157335684633</v>
      </c>
      <c r="GC14" s="361"/>
      <c r="GD14" s="52">
        <f>+EW14/CS14</f>
        <v>1.7799999999508704</v>
      </c>
      <c r="GE14" s="52">
        <f>+EX14/CT14</f>
        <v>1.8218167654148647</v>
      </c>
      <c r="GF14" s="52">
        <f>+EY14/CU14</f>
        <v>2.0048891082166413</v>
      </c>
      <c r="GG14" s="52">
        <f t="shared" si="75"/>
        <v>2.1164183769926406</v>
      </c>
      <c r="GH14" s="52">
        <f t="shared" si="76"/>
        <v>2.3323021897616405</v>
      </c>
      <c r="GI14" s="52">
        <f t="shared" si="77"/>
        <v>2.4580576802517773</v>
      </c>
      <c r="GJ14" s="52">
        <f t="shared" si="78"/>
        <v>2.4065711691165048</v>
      </c>
      <c r="GL14" s="52">
        <f t="shared" si="79"/>
        <v>53.940497341628983</v>
      </c>
      <c r="GM14" s="52">
        <f t="shared" si="80"/>
        <v>42.92380142102229</v>
      </c>
      <c r="GN14" s="52">
        <f t="shared" si="81"/>
        <v>41.235633976658477</v>
      </c>
      <c r="GO14" s="52">
        <f t="shared" si="82"/>
        <v>40.857366211504534</v>
      </c>
      <c r="GP14" s="52">
        <f>+CN14/CW14</f>
        <v>40.172018922198077</v>
      </c>
      <c r="GQ14" s="52">
        <f t="shared" si="83"/>
        <v>39.910825449831329</v>
      </c>
      <c r="GR14" s="52">
        <f t="shared" si="84"/>
        <v>38.67630931099648</v>
      </c>
    </row>
    <row r="15" spans="1:200" ht="11.45" customHeight="1">
      <c r="A15" s="37">
        <f>+A14</f>
        <v>19.123999999999999</v>
      </c>
      <c r="B15" s="64">
        <f>+B14</f>
        <v>3.1419999999999997E-2</v>
      </c>
      <c r="D15" s="19"/>
      <c r="E15" s="27" t="s">
        <v>25</v>
      </c>
      <c r="F15" s="27" t="s">
        <v>5</v>
      </c>
      <c r="G15" s="28">
        <f>+Bloomberg!F40</f>
        <v>41.84</v>
      </c>
      <c r="H15" s="29">
        <f t="shared" si="1"/>
        <v>1397.7576065985588</v>
      </c>
      <c r="I15" s="29"/>
      <c r="J15" s="30">
        <f t="shared" si="2"/>
        <v>2.9784166343107901E-2</v>
      </c>
      <c r="K15" s="30">
        <f t="shared" si="2"/>
        <v>7.3615626940726306E-2</v>
      </c>
      <c r="L15" s="30">
        <f t="shared" si="2"/>
        <v>7.0756092881471014E-2</v>
      </c>
      <c r="M15" s="30">
        <f t="shared" si="2"/>
        <v>7.4472115012446424E-2</v>
      </c>
      <c r="N15" s="30">
        <f t="shared" si="2"/>
        <v>7.6751963348739474E-2</v>
      </c>
      <c r="O15" s="30">
        <f t="shared" si="2"/>
        <v>7.9051469464598567E-2</v>
      </c>
      <c r="P15" s="30">
        <f t="shared" si="2"/>
        <v>8.5499782182844444E-2</v>
      </c>
      <c r="Q15" s="31"/>
      <c r="R15" s="30">
        <f t="shared" si="3"/>
        <v>2.7806136953783525E-3</v>
      </c>
      <c r="S15" s="30">
        <f t="shared" si="4"/>
        <v>2.9579209172747901E-2</v>
      </c>
      <c r="T15" s="30">
        <f t="shared" si="5"/>
        <v>5.7065009560229439E-2</v>
      </c>
      <c r="U15" s="30">
        <f t="shared" si="6"/>
        <v>4.7366156787762896E-2</v>
      </c>
      <c r="V15" s="30">
        <f t="shared" si="7"/>
        <v>5.2540963495742062E-2</v>
      </c>
      <c r="W15" s="30">
        <f t="shared" si="8"/>
        <v>5.3453188792510389E-2</v>
      </c>
      <c r="X15" s="30">
        <f t="shared" si="9"/>
        <v>5.8982443285574546E-2</v>
      </c>
      <c r="Y15" s="30">
        <f t="shared" si="10"/>
        <v>6.7766157851818457E-2</v>
      </c>
      <c r="Z15" s="31"/>
      <c r="AA15" s="57">
        <f t="shared" si="11"/>
        <v>1.3437752658464166</v>
      </c>
      <c r="AB15" s="57">
        <f t="shared" si="12"/>
        <v>1.0713006332508686</v>
      </c>
      <c r="AC15" s="57">
        <f t="shared" si="13"/>
        <v>0.88295628554670014</v>
      </c>
      <c r="AD15" s="57">
        <f t="shared" si="14"/>
        <v>0.91748277287885716</v>
      </c>
      <c r="AE15" s="57">
        <f t="shared" si="51"/>
        <v>0.87862811957467135</v>
      </c>
      <c r="AF15" s="57">
        <f t="shared" si="15"/>
        <v>0.89601705331607284</v>
      </c>
      <c r="AG15" s="57">
        <f t="shared" si="16"/>
        <v>0.90576133017371452</v>
      </c>
      <c r="AH15" s="31"/>
      <c r="AI15" s="30">
        <f t="shared" si="17"/>
        <v>2.8180119076925615E-2</v>
      </c>
      <c r="AJ15" s="31"/>
      <c r="AK15" s="30">
        <f t="shared" si="18"/>
        <v>5.4527988079237318E-2</v>
      </c>
      <c r="AL15" s="30">
        <f t="shared" si="19"/>
        <v>6.2550316064709871E-2</v>
      </c>
      <c r="AM15" s="30">
        <f t="shared" si="20"/>
        <v>6.3808829982674148E-2</v>
      </c>
      <c r="AN15" s="30">
        <f t="shared" si="21"/>
        <v>6.7043481926966617E-2</v>
      </c>
      <c r="AO15" s="30">
        <f t="shared" si="22"/>
        <v>6.9352247192212349E-2</v>
      </c>
      <c r="AP15" s="30">
        <f t="shared" si="23"/>
        <v>7.2958862010279277E-2</v>
      </c>
      <c r="AQ15" s="31"/>
      <c r="AR15" s="30">
        <f t="shared" si="52"/>
        <v>3.0887204360713814E-2</v>
      </c>
      <c r="AS15" s="30">
        <f t="shared" si="52"/>
        <v>6.2841275882128955E-2</v>
      </c>
      <c r="AT15" s="30">
        <f t="shared" si="52"/>
        <v>7.2072416623622695E-2</v>
      </c>
      <c r="AU15" s="30">
        <f t="shared" si="52"/>
        <v>7.3637952984798832E-2</v>
      </c>
      <c r="AV15" s="30">
        <f t="shared" si="52"/>
        <v>7.5941917450263199E-2</v>
      </c>
      <c r="AW15" s="30">
        <f t="shared" si="52"/>
        <v>7.8082893607768031E-2</v>
      </c>
      <c r="AX15" s="30">
        <f t="shared" si="53"/>
        <v>8.2633130863629903E-2</v>
      </c>
      <c r="AY15" s="31"/>
      <c r="AZ15" s="30">
        <f t="shared" si="54"/>
        <v>3.7932247192212352E-2</v>
      </c>
      <c r="BA15" s="30">
        <f t="shared" si="25"/>
        <v>3.7932247192212352E-2</v>
      </c>
      <c r="BB15" s="19"/>
      <c r="BC15" s="25"/>
      <c r="BD15" s="18"/>
      <c r="BE15" s="320"/>
      <c r="BF15" s="41">
        <v>0.69</v>
      </c>
      <c r="BG15" s="317"/>
      <c r="BH15" s="41">
        <v>1</v>
      </c>
      <c r="BI15" s="317"/>
      <c r="BJ15" s="41">
        <f t="shared" si="26"/>
        <v>0.32426393470065484</v>
      </c>
      <c r="BK15" s="321"/>
      <c r="BL15" s="321"/>
      <c r="BM15" s="41">
        <f t="shared" si="27"/>
        <v>0.31549869461991742</v>
      </c>
      <c r="BN15" s="317"/>
      <c r="BO15" s="41">
        <f t="shared" si="55"/>
        <v>0.36242318201863127</v>
      </c>
      <c r="BP15" s="317"/>
      <c r="BQ15" s="41">
        <f t="shared" si="56"/>
        <v>0.35262645206730098</v>
      </c>
      <c r="BR15" s="317"/>
      <c r="BS15" s="41">
        <v>0.01</v>
      </c>
      <c r="BT15" s="317"/>
      <c r="BU15" s="391">
        <f t="shared" si="57"/>
        <v>46768.370999999999</v>
      </c>
      <c r="BV15" s="317"/>
      <c r="BW15" s="41">
        <f>+CA15/(H15*A15)</f>
        <v>1.5335765522098279E-2</v>
      </c>
      <c r="BY15" s="48" t="s">
        <v>21</v>
      </c>
      <c r="BZ15" s="88">
        <v>46768.370999999999</v>
      </c>
      <c r="CA15" s="88">
        <v>409.93599999999998</v>
      </c>
      <c r="CB15" s="88">
        <v>0</v>
      </c>
      <c r="CC15" s="88">
        <f>33.391+15131.905</f>
        <v>15165.296</v>
      </c>
      <c r="CD15" s="313">
        <v>0.59689999999999999</v>
      </c>
      <c r="CE15" s="313"/>
      <c r="CF15" s="343"/>
      <c r="CG15" s="313"/>
      <c r="CH15" s="39"/>
      <c r="CI15" s="99">
        <v>31121.955999999998</v>
      </c>
      <c r="CJ15" s="34">
        <v>19758.851999999999</v>
      </c>
      <c r="CK15" s="34">
        <v>24779.815999999999</v>
      </c>
      <c r="CL15" s="34">
        <v>30065.625</v>
      </c>
      <c r="CM15" s="34">
        <v>29134.081999999999</v>
      </c>
      <c r="CN15" s="34">
        <v>30699.177</v>
      </c>
      <c r="CO15" s="34">
        <v>30103.392131494555</v>
      </c>
      <c r="CP15" s="34">
        <v>29779.53663279803</v>
      </c>
      <c r="CQ15" s="39"/>
      <c r="CR15" s="99">
        <f>376.3/0.589</f>
        <v>638.87945670628187</v>
      </c>
      <c r="CS15" s="34">
        <v>634.59504299999992</v>
      </c>
      <c r="CT15" s="34">
        <v>634.47974600000009</v>
      </c>
      <c r="CU15" s="34">
        <v>634.47974600000009</v>
      </c>
      <c r="CV15" s="34">
        <v>638.86277099999995</v>
      </c>
      <c r="CW15" s="34">
        <v>644.67399999999998</v>
      </c>
      <c r="CX15" s="34">
        <v>644.67382200000009</v>
      </c>
      <c r="CY15" s="34">
        <v>644.67382200000009</v>
      </c>
      <c r="CZ15" s="39"/>
      <c r="DA15" s="34">
        <v>7422.3529999999992</v>
      </c>
      <c r="DB15" s="34">
        <v>9804.8095000000012</v>
      </c>
      <c r="DC15" s="34">
        <v>12318.8465</v>
      </c>
      <c r="DD15" s="34">
        <v>14316.5735</v>
      </c>
      <c r="DE15" s="34">
        <v>14882.511999999999</v>
      </c>
      <c r="DF15" s="34">
        <v>14871.013865198765</v>
      </c>
      <c r="DG15" s="34">
        <v>13953.617425959241</v>
      </c>
      <c r="DH15" s="39"/>
      <c r="DI15" s="34">
        <f t="shared" si="28"/>
        <v>33973.809599119995</v>
      </c>
      <c r="DJ15" s="34">
        <f t="shared" si="29"/>
        <v>36351.442072640006</v>
      </c>
      <c r="DK15" s="34">
        <f t="shared" si="30"/>
        <v>38865.47907264001</v>
      </c>
      <c r="DL15" s="34">
        <f t="shared" si="31"/>
        <v>41046.591838640001</v>
      </c>
      <c r="DM15" s="327">
        <f t="shared" si="32"/>
        <v>41855.672160000002</v>
      </c>
      <c r="DN15" s="327">
        <f t="shared" si="58"/>
        <v>41844.16657767877</v>
      </c>
      <c r="DO15" s="327">
        <f t="shared" si="58"/>
        <v>40926.770138439242</v>
      </c>
      <c r="DP15" s="39"/>
      <c r="DQ15" s="34">
        <v>1049.356</v>
      </c>
      <c r="DR15" s="34">
        <v>2284.3710000000001</v>
      </c>
      <c r="DS15" s="34">
        <v>2801.1289999999999</v>
      </c>
      <c r="DT15" s="34">
        <v>3022.587</v>
      </c>
      <c r="DU15" s="34">
        <v>3178.6</v>
      </c>
      <c r="DV15" s="34">
        <v>3267.3136069906145</v>
      </c>
      <c r="DW15" s="34">
        <v>3381.9071526753505</v>
      </c>
      <c r="DX15"/>
      <c r="DY15" s="34">
        <v>957.38599999999997</v>
      </c>
      <c r="DZ15" s="34">
        <v>1982.171</v>
      </c>
      <c r="EA15" s="34">
        <v>2431.0479999999998</v>
      </c>
      <c r="EB15" s="34">
        <v>2619.1350000000002</v>
      </c>
      <c r="EC15" s="34">
        <v>2806.15</v>
      </c>
      <c r="ED15" s="34">
        <v>2901.9869840472884</v>
      </c>
      <c r="EE15" s="34">
        <v>2985.9705750568073</v>
      </c>
      <c r="EG15" s="34">
        <v>790.81299999999999</v>
      </c>
      <c r="EH15" s="34">
        <v>1954.2470000000001</v>
      </c>
      <c r="EI15" s="34">
        <v>1878.336</v>
      </c>
      <c r="EJ15" s="34">
        <v>1990.6410000000001</v>
      </c>
      <c r="EK15" s="34">
        <v>2070.2429999999999</v>
      </c>
      <c r="EL15" s="34">
        <v>2132.267358014567</v>
      </c>
      <c r="EM15" s="34">
        <v>2306.1986817016405</v>
      </c>
      <c r="EO15" s="34">
        <v>281.517</v>
      </c>
      <c r="EP15" s="34">
        <v>1377.8440000000001</v>
      </c>
      <c r="EQ15" s="34">
        <v>1302.258</v>
      </c>
      <c r="ER15" s="34">
        <v>1490.3889999999999</v>
      </c>
      <c r="ES15" s="34">
        <v>1602.4760000000001</v>
      </c>
      <c r="ET15" s="34">
        <v>1767.4800442223429</v>
      </c>
      <c r="EU15" s="34">
        <v>1897.7320082264523</v>
      </c>
      <c r="EW15" s="34">
        <v>73.829343851757002</v>
      </c>
      <c r="EX15" s="34">
        <v>785.22839769820143</v>
      </c>
      <c r="EY15" s="34">
        <v>1257.4119606228001</v>
      </c>
      <c r="EZ15" s="34">
        <v>1404.4209177710002</v>
      </c>
      <c r="FA15" s="34">
        <v>1441.8014223630998</v>
      </c>
      <c r="FB15" s="34">
        <v>1590.9424500969931</v>
      </c>
      <c r="FC15" s="34">
        <v>1827.8669244751252</v>
      </c>
      <c r="FE15" s="54">
        <f t="shared" si="64"/>
        <v>1.5086566000799979</v>
      </c>
      <c r="FF15" s="54">
        <f t="shared" si="65"/>
        <v>3.1240886923441678</v>
      </c>
      <c r="FG15" s="54">
        <f t="shared" si="66"/>
        <v>3.8315612363140739</v>
      </c>
      <c r="FH15" s="54">
        <f t="shared" si="67"/>
        <v>4.0996832479380778</v>
      </c>
      <c r="FI15" s="54">
        <f t="shared" si="68"/>
        <v>4.3528201850857959</v>
      </c>
      <c r="FJ15" s="54">
        <f t="shared" si="69"/>
        <v>4.5014810358582977</v>
      </c>
      <c r="FK15" s="54">
        <f t="shared" si="70"/>
        <v>4.631754033060159</v>
      </c>
      <c r="FL15" s="55"/>
      <c r="FM15" s="54">
        <f t="shared" si="85"/>
        <v>1.2461695197956346</v>
      </c>
      <c r="FN15" s="54">
        <f t="shared" si="86"/>
        <v>3.080077831199989</v>
      </c>
      <c r="FO15" s="54">
        <f>+EI15/CU15</f>
        <v>2.9604349261607474</v>
      </c>
      <c r="FP15" s="54">
        <f>+EJ15/CV15</f>
        <v>3.1159132921207586</v>
      </c>
      <c r="FQ15" s="54">
        <f>+EK15/CW15</f>
        <v>3.2113021465112599</v>
      </c>
      <c r="FR15" s="54">
        <f t="shared" si="41"/>
        <v>3.3075134823988042</v>
      </c>
      <c r="FS15" s="54">
        <f>+EM15/CY15</f>
        <v>3.5773108865302121</v>
      </c>
      <c r="FT15" s="363"/>
      <c r="FU15" s="363"/>
      <c r="FV15" s="54">
        <f t="shared" si="87"/>
        <v>0.44361676490435498</v>
      </c>
      <c r="FW15" s="54">
        <f t="shared" si="88"/>
        <v>2.1716122676672485</v>
      </c>
      <c r="FX15" s="54">
        <f t="shared" si="89"/>
        <v>2.0524815933210259</v>
      </c>
      <c r="FY15" s="54">
        <f t="shared" si="90"/>
        <v>2.3328781510732295</v>
      </c>
      <c r="FZ15" s="54">
        <f t="shared" si="91"/>
        <v>2.4857152607364346</v>
      </c>
      <c r="GA15" s="54">
        <f t="shared" si="92"/>
        <v>2.7416656050016295</v>
      </c>
      <c r="GB15" s="54">
        <f t="shared" si="93"/>
        <v>2.9437088081830813</v>
      </c>
      <c r="GC15" s="363"/>
      <c r="GD15" s="54">
        <f t="shared" ref="GD15" si="102">+EW15/CS15</f>
        <v>0.11634087701463028</v>
      </c>
      <c r="GE15" s="54">
        <f t="shared" ref="GE15" si="103">+EX15/CT15</f>
        <v>1.2375941117877722</v>
      </c>
      <c r="GF15" s="54">
        <f t="shared" ref="GF15" si="104">+EY15/CU15</f>
        <v>1.9817999999999998</v>
      </c>
      <c r="GG15" s="54">
        <f t="shared" si="75"/>
        <v>2.1983139126618481</v>
      </c>
      <c r="GH15" s="54">
        <f t="shared" si="76"/>
        <v>2.2364814190786348</v>
      </c>
      <c r="GI15" s="54">
        <f t="shared" si="77"/>
        <v>2.4678254270684392</v>
      </c>
      <c r="GJ15" s="54">
        <f t="shared" si="78"/>
        <v>2.8353360445200844</v>
      </c>
      <c r="GK15" s="55"/>
      <c r="GL15" s="54">
        <f t="shared" si="79"/>
        <v>31.1361587487219</v>
      </c>
      <c r="GM15" s="54">
        <f t="shared" si="80"/>
        <v>39.055330223259794</v>
      </c>
      <c r="GN15" s="54">
        <f t="shared" si="81"/>
        <v>47.38626439936823</v>
      </c>
      <c r="GO15" s="54">
        <f t="shared" si="82"/>
        <v>45.603036086133123</v>
      </c>
      <c r="GP15" s="54">
        <f t="shared" ref="GP15" si="105">+CN15/CW15</f>
        <v>47.619691502992211</v>
      </c>
      <c r="GQ15" s="54">
        <f t="shared" si="83"/>
        <v>46.695539828348345</v>
      </c>
      <c r="GR15" s="54">
        <f t="shared" si="84"/>
        <v>46.193184237591126</v>
      </c>
    </row>
    <row r="16" spans="1:200" ht="11.45" customHeight="1">
      <c r="A16" s="37">
        <f>+A23</f>
        <v>19.123999999999999</v>
      </c>
      <c r="B16" s="64">
        <f>+B23</f>
        <v>3.1419999999999997E-2</v>
      </c>
      <c r="D16" s="6"/>
      <c r="E16" s="20" t="s">
        <v>6</v>
      </c>
      <c r="F16" s="20" t="s">
        <v>11</v>
      </c>
      <c r="G16" s="21">
        <f>+Bloomberg!F41</f>
        <v>9.24</v>
      </c>
      <c r="H16" s="22">
        <f t="shared" si="1"/>
        <v>389.39553944363104</v>
      </c>
      <c r="I16" s="22"/>
      <c r="J16" s="23">
        <f t="shared" si="2"/>
        <v>9.0288330128074704E-2</v>
      </c>
      <c r="K16" s="23">
        <f t="shared" si="2"/>
        <v>9.7596858097701022E-2</v>
      </c>
      <c r="L16" s="23">
        <f t="shared" si="2"/>
        <v>0.11069954803393664</v>
      </c>
      <c r="M16" s="23">
        <f t="shared" si="2"/>
        <v>0.10542170014766046</v>
      </c>
      <c r="N16" s="23">
        <f t="shared" si="2"/>
        <v>0.12410851387600634</v>
      </c>
      <c r="O16" s="23">
        <f t="shared" si="2"/>
        <v>0.12659068415352645</v>
      </c>
      <c r="P16" s="23">
        <f t="shared" si="2"/>
        <v>0.12912249783659699</v>
      </c>
      <c r="Q16" s="24"/>
      <c r="R16" s="23">
        <f t="shared" si="3"/>
        <v>9.3239263422734503E-2</v>
      </c>
      <c r="S16" s="23">
        <f t="shared" si="4"/>
        <v>9.4383923014597082E-2</v>
      </c>
      <c r="T16" s="23">
        <f t="shared" si="5"/>
        <v>7.4069264069264062E-2</v>
      </c>
      <c r="U16" s="23">
        <f t="shared" si="6"/>
        <v>0.1090525558154293</v>
      </c>
      <c r="V16" s="23">
        <f t="shared" si="7"/>
        <v>8.7443982217096941E-2</v>
      </c>
      <c r="W16" s="23">
        <f t="shared" si="8"/>
        <v>0.11104945288267133</v>
      </c>
      <c r="X16" s="23">
        <f t="shared" si="9"/>
        <v>0.10253845416435643</v>
      </c>
      <c r="Y16" s="23">
        <f t="shared" si="10"/>
        <v>0.10458922324764357</v>
      </c>
      <c r="Z16" s="24"/>
      <c r="AA16" s="56">
        <f t="shared" si="11"/>
        <v>0.47245544362035424</v>
      </c>
      <c r="AB16" s="56">
        <f t="shared" si="12"/>
        <v>0.48211028578879334</v>
      </c>
      <c r="AC16" s="56">
        <f t="shared" si="13"/>
        <v>0.49205134957341784</v>
      </c>
      <c r="AD16" s="56">
        <f t="shared" si="14"/>
        <v>0.56351745861234992</v>
      </c>
      <c r="AE16" s="56">
        <f t="shared" si="51"/>
        <v>0.55654093337255228</v>
      </c>
      <c r="AF16" s="56">
        <f t="shared" si="15"/>
        <v>0.54973503886962205</v>
      </c>
      <c r="AG16" s="56">
        <f t="shared" si="16"/>
        <v>0.54973503886962205</v>
      </c>
      <c r="AH16" s="24"/>
      <c r="AI16" s="23">
        <f t="shared" si="17"/>
        <v>0.16190813299776574</v>
      </c>
      <c r="AJ16" s="24"/>
      <c r="AK16" s="23">
        <f t="shared" si="18"/>
        <v>0.10369836630317494</v>
      </c>
      <c r="AL16" s="23">
        <f t="shared" si="19"/>
        <v>9.893327288006129E-2</v>
      </c>
      <c r="AM16" s="23">
        <f t="shared" si="20"/>
        <v>0.14899547489300269</v>
      </c>
      <c r="AN16" s="23">
        <f t="shared" si="21"/>
        <v>0.10856391976085081</v>
      </c>
      <c r="AO16" s="23">
        <f t="shared" si="22"/>
        <v>0.10986276212658597</v>
      </c>
      <c r="AP16" s="23">
        <f t="shared" si="23"/>
        <v>0.11535590023291527</v>
      </c>
      <c r="AQ16" s="24"/>
      <c r="AR16" s="23">
        <f t="shared" si="52"/>
        <v>0.21943941544689166</v>
      </c>
      <c r="AS16" s="23">
        <f t="shared" si="52"/>
        <v>0.13339432294382514</v>
      </c>
      <c r="AT16" s="23">
        <f t="shared" si="52"/>
        <v>0.12202699881412397</v>
      </c>
      <c r="AU16" s="23">
        <f t="shared" si="52"/>
        <v>0.17557799165304377</v>
      </c>
      <c r="AV16" s="23">
        <f t="shared" si="52"/>
        <v>0.12999394068486383</v>
      </c>
      <c r="AW16" s="23">
        <f t="shared" si="52"/>
        <v>0.13154916858951482</v>
      </c>
      <c r="AX16" s="23">
        <f t="shared" si="53"/>
        <v>0.13812662701899059</v>
      </c>
      <c r="AY16" s="24"/>
      <c r="AZ16" s="23">
        <f t="shared" si="54"/>
        <v>7.8442762126585963E-2</v>
      </c>
      <c r="BA16" s="23">
        <f t="shared" si="25"/>
        <v>7.8442762126585963E-2</v>
      </c>
      <c r="BB16" s="6"/>
      <c r="BC16" s="25"/>
      <c r="BD16" s="25"/>
      <c r="BE16" s="320"/>
      <c r="BF16" s="40" t="s">
        <v>338</v>
      </c>
      <c r="BG16" s="317"/>
      <c r="BH16" s="40">
        <v>0</v>
      </c>
      <c r="BI16" s="317"/>
      <c r="BJ16" s="40">
        <f t="shared" si="26"/>
        <v>0.25923169993374884</v>
      </c>
      <c r="BK16" s="321"/>
      <c r="BL16" s="321"/>
      <c r="BM16" s="40">
        <f t="shared" si="27"/>
        <v>0.20355333366499034</v>
      </c>
      <c r="BN16" s="317"/>
      <c r="BO16" s="40">
        <f t="shared" si="55"/>
        <v>0.41952389099534693</v>
      </c>
      <c r="BP16" s="317"/>
      <c r="BQ16" s="40">
        <f t="shared" si="56"/>
        <v>0.32941760820931698</v>
      </c>
      <c r="BR16" s="317"/>
      <c r="BS16" s="40">
        <v>7.0000000000000007E-2</v>
      </c>
      <c r="BT16" s="317"/>
      <c r="BU16" s="390">
        <f t="shared" si="57"/>
        <v>17869.866999999998</v>
      </c>
      <c r="BV16" s="317"/>
      <c r="BW16" s="40">
        <v>0.1</v>
      </c>
      <c r="BY16" s="48" t="s">
        <v>21</v>
      </c>
      <c r="BZ16" s="88">
        <v>17869.866999999998</v>
      </c>
      <c r="CA16" s="88">
        <v>994.96500000000003</v>
      </c>
      <c r="CB16" s="88">
        <v>2.6829999999999998</v>
      </c>
      <c r="CC16" s="88">
        <f>165.865+1966.571+2500</f>
        <v>4632.4359999999997</v>
      </c>
      <c r="CD16" s="313">
        <v>0.1711</v>
      </c>
      <c r="CE16" s="88">
        <v>12300</v>
      </c>
      <c r="CF16" s="88">
        <v>1206</v>
      </c>
      <c r="CG16" s="88"/>
      <c r="CH16" s="39"/>
      <c r="CI16" s="98">
        <v>12709.817999999999</v>
      </c>
      <c r="CJ16" s="33">
        <v>9767</v>
      </c>
      <c r="CK16" s="33">
        <v>9571.4040000000005</v>
      </c>
      <c r="CL16" s="33">
        <v>9378.0300000000007</v>
      </c>
      <c r="CM16" s="33">
        <v>13561.473</v>
      </c>
      <c r="CN16" s="33">
        <v>13731.473</v>
      </c>
      <c r="CO16" s="33">
        <v>13901.473</v>
      </c>
      <c r="CP16" s="33">
        <v>13901.473</v>
      </c>
      <c r="CQ16" s="39"/>
      <c r="CR16" s="98">
        <v>805.93076799999994</v>
      </c>
      <c r="CS16" s="33">
        <v>499.40176600000001</v>
      </c>
      <c r="CT16" s="33">
        <v>499.40176600000001</v>
      </c>
      <c r="CU16" s="33">
        <v>499.40176600000001</v>
      </c>
      <c r="CV16" s="33">
        <f>827.07</f>
        <v>827.07</v>
      </c>
      <c r="CW16" s="33">
        <f>+CV16</f>
        <v>827.07</v>
      </c>
      <c r="CX16" s="33">
        <f>+CV16</f>
        <v>827.07</v>
      </c>
      <c r="CY16" s="33">
        <f>+CW16</f>
        <v>827.07</v>
      </c>
      <c r="CZ16" s="39"/>
      <c r="DA16" s="33">
        <f>4.37-2091.905-234.063</f>
        <v>-2321.5980000000004</v>
      </c>
      <c r="DB16" s="33">
        <f>7.849+844.618+5.11-376.824-288.544</f>
        <v>192.20900000000012</v>
      </c>
      <c r="DC16" s="33">
        <f>98.288+2598.743-448.828-228.709</f>
        <v>2019.4939999999999</v>
      </c>
      <c r="DD16" s="33">
        <f>103.247+3062.659-4727.981-28.217</f>
        <v>-1590.2919999999999</v>
      </c>
      <c r="DE16" s="33">
        <v>3000</v>
      </c>
      <c r="DF16" s="33">
        <v>3400</v>
      </c>
      <c r="DG16" s="33">
        <v>3400</v>
      </c>
      <c r="DH16" s="39"/>
      <c r="DI16" s="33">
        <f t="shared" si="28"/>
        <v>2292.8743178399995</v>
      </c>
      <c r="DJ16" s="33">
        <f t="shared" si="29"/>
        <v>4806.6813178399998</v>
      </c>
      <c r="DK16" s="33">
        <f t="shared" si="30"/>
        <v>6633.9663178399996</v>
      </c>
      <c r="DL16" s="33">
        <f t="shared" si="31"/>
        <v>6051.8348000000005</v>
      </c>
      <c r="DM16" s="326">
        <f t="shared" si="32"/>
        <v>10642.126800000002</v>
      </c>
      <c r="DN16" s="326">
        <f t="shared" si="58"/>
        <v>11042.126800000002</v>
      </c>
      <c r="DO16" s="326">
        <f t="shared" si="58"/>
        <v>11042.126800000002</v>
      </c>
      <c r="DP16" s="39"/>
      <c r="DQ16" s="33">
        <v>503.14699999999999</v>
      </c>
      <c r="DR16" s="33">
        <v>641.18399999999997</v>
      </c>
      <c r="DS16" s="33">
        <v>809.52300000000002</v>
      </c>
      <c r="DT16" s="33">
        <v>1062.569</v>
      </c>
      <c r="DU16" s="33">
        <v>1383.412</v>
      </c>
      <c r="DV16" s="33">
        <f>+DU16*1.05</f>
        <v>1452.5826000000002</v>
      </c>
      <c r="DW16" s="33">
        <f>+DV16*1.05</f>
        <v>1525.2117300000002</v>
      </c>
      <c r="DX16"/>
      <c r="DY16" s="33">
        <v>371.23500000000001</v>
      </c>
      <c r="DZ16" s="33">
        <v>498.44499999999999</v>
      </c>
      <c r="EA16" s="33">
        <v>656.32</v>
      </c>
      <c r="EB16" s="33">
        <v>901.69600000000003</v>
      </c>
      <c r="EC16" s="33">
        <v>1155.3510000000001</v>
      </c>
      <c r="ED16" s="33">
        <f>+EC16*1.05</f>
        <v>1213.1185500000001</v>
      </c>
      <c r="EE16" s="33">
        <f>+ED16*1.05</f>
        <v>1273.7744775000001</v>
      </c>
      <c r="EG16" s="33">
        <v>416.63299999999998</v>
      </c>
      <c r="EH16" s="33">
        <v>450.358</v>
      </c>
      <c r="EI16" s="33">
        <v>510.82</v>
      </c>
      <c r="EJ16" s="33">
        <v>805.64599999999996</v>
      </c>
      <c r="EK16" s="33">
        <v>948.45299999999997</v>
      </c>
      <c r="EL16" s="33">
        <f>+EK16*1.02</f>
        <v>967.42205999999999</v>
      </c>
      <c r="EM16" s="33">
        <f>+EL16*1.02</f>
        <v>986.77050120000001</v>
      </c>
      <c r="EO16" s="100">
        <v>423.76799999999997</v>
      </c>
      <c r="EP16" s="100">
        <v>428.97199999999998</v>
      </c>
      <c r="EQ16" s="100">
        <v>493.61399999999998</v>
      </c>
      <c r="ER16" s="100">
        <v>668.57899999999995</v>
      </c>
      <c r="ES16" s="100">
        <v>849.38599999999997</v>
      </c>
      <c r="ET16" s="100">
        <f>+EL16*90%</f>
        <v>870.67985399999998</v>
      </c>
      <c r="EU16" s="100">
        <f>+EM16*90%</f>
        <v>888.09345108000002</v>
      </c>
      <c r="EW16" s="33">
        <f>+'Consensus Non-BTG Coverage'!BC30</f>
        <v>430.25</v>
      </c>
      <c r="EX16" s="33">
        <v>435.53199999999998</v>
      </c>
      <c r="EY16" s="33">
        <v>503.22</v>
      </c>
      <c r="EZ16" s="33">
        <v>668.25800000000004</v>
      </c>
      <c r="FA16" s="33">
        <v>848.654</v>
      </c>
      <c r="FB16" s="33">
        <f>+ET16*90%</f>
        <v>783.61186859999998</v>
      </c>
      <c r="FC16" s="33">
        <f>+EU16*90%</f>
        <v>799.28410597200002</v>
      </c>
      <c r="FE16" s="52">
        <f t="shared" si="64"/>
        <v>0.74335940574146875</v>
      </c>
      <c r="FF16" s="52">
        <f t="shared" si="65"/>
        <v>0.99808417577762432</v>
      </c>
      <c r="FG16" s="52">
        <f t="shared" si="66"/>
        <v>1.3142124130974739</v>
      </c>
      <c r="FH16" s="52">
        <f t="shared" si="67"/>
        <v>1.0902293638990654</v>
      </c>
      <c r="FI16" s="52">
        <f t="shared" si="68"/>
        <v>1.3969204541332656</v>
      </c>
      <c r="FJ16" s="52">
        <f t="shared" si="69"/>
        <v>1.4667664768399289</v>
      </c>
      <c r="FK16" s="52">
        <f t="shared" si="70"/>
        <v>1.5401048006819253</v>
      </c>
      <c r="FM16" s="52">
        <f t="shared" si="85"/>
        <v>0.83426417038341028</v>
      </c>
      <c r="FN16" s="52">
        <f t="shared" si="86"/>
        <v>0.90179496882275745</v>
      </c>
      <c r="FO16" s="52">
        <f t="shared" ref="FO16" si="106">+EI16/CU16</f>
        <v>1.0228638238335745</v>
      </c>
      <c r="FP16" s="52">
        <f t="shared" ref="FP16" si="107">+EJ16/CV16</f>
        <v>0.97409650936438263</v>
      </c>
      <c r="FQ16" s="52">
        <f t="shared" ref="FQ16" si="108">+EK16/CW16</f>
        <v>1.1467626682142986</v>
      </c>
      <c r="FR16" s="52">
        <f t="shared" si="41"/>
        <v>1.1696979215785845</v>
      </c>
      <c r="FS16" s="52">
        <f t="shared" ref="FS16" si="109">+EM16/CY16</f>
        <v>1.1930918800101562</v>
      </c>
      <c r="FT16" s="361"/>
      <c r="FU16" s="361"/>
      <c r="FV16" s="52"/>
      <c r="FW16" s="52"/>
      <c r="FX16" s="52"/>
      <c r="FY16" s="52"/>
      <c r="FZ16" s="52"/>
      <c r="GA16" s="52"/>
      <c r="GB16" s="52"/>
      <c r="GC16" s="361"/>
      <c r="GD16" s="52">
        <f>+EW16/CS16</f>
        <v>0.8615307940260668</v>
      </c>
      <c r="GE16" s="52">
        <f>+EX16/CT16</f>
        <v>0.8721074486548771</v>
      </c>
      <c r="GF16" s="52">
        <f>+EY16/CU16</f>
        <v>1.0076456157345668</v>
      </c>
      <c r="GG16" s="52">
        <f t="shared" si="75"/>
        <v>0.80798239568597574</v>
      </c>
      <c r="GH16" s="52">
        <f t="shared" si="76"/>
        <v>1.0260969446358832</v>
      </c>
      <c r="GI16" s="52">
        <f t="shared" si="77"/>
        <v>0.94745531647865344</v>
      </c>
      <c r="GJ16" s="52">
        <f t="shared" si="78"/>
        <v>0.96640442280822658</v>
      </c>
      <c r="GL16" s="52">
        <f t="shared" si="79"/>
        <v>19.557399803027529</v>
      </c>
      <c r="GM16" s="52">
        <f t="shared" si="80"/>
        <v>19.165739193641539</v>
      </c>
      <c r="GN16" s="52">
        <f t="shared" si="81"/>
        <v>18.778527907728705</v>
      </c>
      <c r="GO16" s="52">
        <f t="shared" si="82"/>
        <v>16.397007508433383</v>
      </c>
      <c r="GP16" s="52">
        <f>+CN16/CW16</f>
        <v>16.602552383716009</v>
      </c>
      <c r="GQ16" s="52">
        <f t="shared" si="83"/>
        <v>16.808097258998632</v>
      </c>
      <c r="GR16" s="52">
        <f t="shared" si="84"/>
        <v>16.808097258998632</v>
      </c>
    </row>
    <row r="17" spans="1:200" ht="11.45" customHeight="1">
      <c r="A17" s="37">
        <f t="shared" si="63"/>
        <v>19.123999999999999</v>
      </c>
      <c r="B17" s="64">
        <f t="shared" si="63"/>
        <v>3.1419999999999997E-2</v>
      </c>
      <c r="D17" s="19"/>
      <c r="E17" s="27" t="s">
        <v>7</v>
      </c>
      <c r="F17" s="27" t="s">
        <v>11</v>
      </c>
      <c r="G17" s="28">
        <f>+Bloomberg!F42</f>
        <v>7.2</v>
      </c>
      <c r="H17" s="29">
        <f t="shared" si="1"/>
        <v>196.49171784145577</v>
      </c>
      <c r="I17" s="29"/>
      <c r="J17" s="30">
        <f t="shared" si="2"/>
        <v>0.10275340780158845</v>
      </c>
      <c r="K17" s="30">
        <f t="shared" si="2"/>
        <v>0.12236206458174421</v>
      </c>
      <c r="L17" s="30">
        <f t="shared" si="2"/>
        <v>0.13911060433295325</v>
      </c>
      <c r="M17" s="30">
        <f t="shared" si="2"/>
        <v>0.13892045454545454</v>
      </c>
      <c r="N17" s="30">
        <f t="shared" si="2"/>
        <v>0.14586647727272728</v>
      </c>
      <c r="O17" s="30">
        <f t="shared" si="2"/>
        <v>0.15315980113636363</v>
      </c>
      <c r="P17" s="30">
        <f t="shared" si="2"/>
        <v>0.15928619318181819</v>
      </c>
      <c r="Q17" s="31"/>
      <c r="R17" s="30">
        <f t="shared" si="3"/>
        <v>9.4723300893299459E-2</v>
      </c>
      <c r="S17" s="30">
        <f t="shared" si="4"/>
        <v>0.10745614035087719</v>
      </c>
      <c r="T17" s="30">
        <f t="shared" si="5"/>
        <v>6.961111111111111E-2</v>
      </c>
      <c r="U17" s="30">
        <f t="shared" si="6"/>
        <v>0.1324274673761561</v>
      </c>
      <c r="V17" s="30">
        <f t="shared" si="7"/>
        <v>0.1388888888888889</v>
      </c>
      <c r="W17" s="30">
        <f t="shared" si="8"/>
        <v>0.14003181818181815</v>
      </c>
      <c r="X17" s="30">
        <f t="shared" si="9"/>
        <v>0.14703340909090909</v>
      </c>
      <c r="Y17" s="30">
        <f t="shared" si="10"/>
        <v>0.15132188352272727</v>
      </c>
      <c r="Z17" s="31"/>
      <c r="AA17" s="57">
        <f t="shared" si="11"/>
        <v>0.34820441881351083</v>
      </c>
      <c r="AB17" s="57">
        <f t="shared" si="12"/>
        <v>0.4469314372743432</v>
      </c>
      <c r="AC17" s="57">
        <f t="shared" si="13"/>
        <v>0.4611907110943741</v>
      </c>
      <c r="AD17" s="57">
        <f t="shared" si="14"/>
        <v>0.36687957571674118</v>
      </c>
      <c r="AE17" s="57">
        <f t="shared" si="51"/>
        <v>0.3561937628317875</v>
      </c>
      <c r="AF17" s="57">
        <f t="shared" si="15"/>
        <v>0.3561937628317875</v>
      </c>
      <c r="AG17" s="57">
        <f t="shared" si="16"/>
        <v>0.34581918721532767</v>
      </c>
      <c r="AH17" s="31"/>
      <c r="AI17" s="30">
        <f t="shared" si="17"/>
        <v>0.18066545450081362</v>
      </c>
      <c r="AJ17" s="31"/>
      <c r="AK17" s="30">
        <f t="shared" si="18"/>
        <v>9.2862281230009294E-2</v>
      </c>
      <c r="AL17" s="30">
        <f t="shared" si="19"/>
        <v>0.10914642784310001</v>
      </c>
      <c r="AM17" s="30">
        <f t="shared" si="20"/>
        <v>0.10987724353883506</v>
      </c>
      <c r="AN17" s="30">
        <f t="shared" si="21"/>
        <v>0.11123993371996685</v>
      </c>
      <c r="AO17" s="30">
        <f t="shared" si="22"/>
        <v>0.11058062528877252</v>
      </c>
      <c r="AP17" s="30">
        <f t="shared" si="23"/>
        <v>0.11500385030032342</v>
      </c>
      <c r="AQ17" s="31"/>
      <c r="AR17" s="30">
        <f t="shared" si="52"/>
        <v>0.21935541512133708</v>
      </c>
      <c r="AS17" s="30">
        <f t="shared" si="52"/>
        <v>0.11313076874409797</v>
      </c>
      <c r="AT17" s="30">
        <f t="shared" si="52"/>
        <v>0.12833315949817162</v>
      </c>
      <c r="AU17" s="30">
        <f t="shared" si="52"/>
        <v>0.12590592453087066</v>
      </c>
      <c r="AV17" s="30">
        <f t="shared" si="52"/>
        <v>0.12297464788732396</v>
      </c>
      <c r="AW17" s="30">
        <f t="shared" si="52"/>
        <v>0.12230134606499309</v>
      </c>
      <c r="AX17" s="30">
        <f t="shared" si="53"/>
        <v>0.12719339990759279</v>
      </c>
      <c r="AY17" s="31"/>
      <c r="AZ17" s="30">
        <f t="shared" si="54"/>
        <v>7.9160625288772518E-2</v>
      </c>
      <c r="BA17" s="30">
        <f t="shared" si="25"/>
        <v>7.9160625288772518E-2</v>
      </c>
      <c r="BB17" s="19"/>
      <c r="BC17" s="25"/>
      <c r="BD17" s="18"/>
      <c r="BE17" s="320"/>
      <c r="BF17" s="41" t="s">
        <v>15</v>
      </c>
      <c r="BG17" s="317"/>
      <c r="BH17" s="41">
        <v>0</v>
      </c>
      <c r="BI17" s="317"/>
      <c r="BJ17" s="41">
        <f t="shared" si="26"/>
        <v>0.27604736965842774</v>
      </c>
      <c r="BK17" s="321"/>
      <c r="BL17" s="321"/>
      <c r="BM17" s="41">
        <f t="shared" si="27"/>
        <v>0.25136327887037091</v>
      </c>
      <c r="BN17" s="317"/>
      <c r="BO17" s="41">
        <f t="shared" si="55"/>
        <v>0.52369906052672111</v>
      </c>
      <c r="BP17" s="317"/>
      <c r="BQ17" s="41">
        <f t="shared" si="56"/>
        <v>0.47687001386108119</v>
      </c>
      <c r="BR17" s="317"/>
      <c r="BS17" s="41">
        <f>+(CA17+CB17)/BZ17</f>
        <v>2.5268028435563417E-2</v>
      </c>
      <c r="BT17" s="317"/>
      <c r="BU17" s="391">
        <f t="shared" si="57"/>
        <v>12318.096</v>
      </c>
      <c r="BV17" s="317"/>
      <c r="BW17" s="41">
        <v>0.09</v>
      </c>
      <c r="BY17" s="48" t="s">
        <v>21</v>
      </c>
      <c r="BZ17" s="88">
        <v>12318.096</v>
      </c>
      <c r="CA17" s="88">
        <v>304.06099999999998</v>
      </c>
      <c r="CB17" s="88">
        <v>7.1929999999999996</v>
      </c>
      <c r="CC17" s="88">
        <f>200+32.244+2970.51+197.624</f>
        <v>3400.3780000000002</v>
      </c>
      <c r="CD17" s="313">
        <v>0.12529999999999999</v>
      </c>
      <c r="CE17" s="88">
        <v>6591</v>
      </c>
      <c r="CF17" s="88">
        <v>1294.3</v>
      </c>
      <c r="CG17" s="88"/>
      <c r="CH17" s="39"/>
      <c r="CI17" s="99">
        <v>8658.7790000000005</v>
      </c>
      <c r="CJ17" s="34">
        <v>7188.5360000000001</v>
      </c>
      <c r="CK17" s="34">
        <v>7040.0060000000003</v>
      </c>
      <c r="CL17" s="34">
        <v>6845.7579999999998</v>
      </c>
      <c r="CM17" s="34">
        <v>8634.9860000000008</v>
      </c>
      <c r="CN17" s="34">
        <f>+CM17*(1.03)</f>
        <v>8894.0355800000016</v>
      </c>
      <c r="CO17" s="34">
        <f>+CM17*(1.03)</f>
        <v>8894.0355800000016</v>
      </c>
      <c r="CP17" s="34">
        <f>+CN17*(1.03)</f>
        <v>9160.8566474000017</v>
      </c>
      <c r="CQ17" s="39"/>
      <c r="CR17" s="99">
        <v>521.90383499999996</v>
      </c>
      <c r="CS17" s="34">
        <v>347.65</v>
      </c>
      <c r="CT17" s="34">
        <v>437</v>
      </c>
      <c r="CU17" s="34">
        <v>438.5</v>
      </c>
      <c r="CV17" s="34">
        <v>440</v>
      </c>
      <c r="CW17" s="34">
        <v>440</v>
      </c>
      <c r="CX17" s="34">
        <v>440</v>
      </c>
      <c r="CY17" s="34">
        <v>440</v>
      </c>
      <c r="CZ17" s="39"/>
      <c r="DA17" s="34">
        <f>10.701+2.044+66.029-1106.691-8.917</f>
        <v>-1036.8339999999998</v>
      </c>
      <c r="DB17" s="34">
        <f>8.662+69.397+1847.852+0.136-796.751-8.086</f>
        <v>1121.21</v>
      </c>
      <c r="DC17" s="34">
        <f>4.999+2836.654+1.1-845.802-15.183</f>
        <v>1981.7679999999996</v>
      </c>
      <c r="DD17" s="34">
        <f>2850.755+2.764+2.066-5.143-509.567</f>
        <v>2340.875</v>
      </c>
      <c r="DE17" s="34">
        <v>2867</v>
      </c>
      <c r="DF17" s="34">
        <v>3325</v>
      </c>
      <c r="DG17" s="34">
        <v>3325</v>
      </c>
      <c r="DH17" s="39"/>
      <c r="DI17" s="34">
        <f t="shared" si="28"/>
        <v>1466.2460000000001</v>
      </c>
      <c r="DJ17" s="34">
        <f t="shared" si="29"/>
        <v>4267.6100000000006</v>
      </c>
      <c r="DK17" s="34">
        <f t="shared" si="30"/>
        <v>5138.9679999999998</v>
      </c>
      <c r="DL17" s="34">
        <f t="shared" si="31"/>
        <v>5508.875</v>
      </c>
      <c r="DM17" s="324">
        <f t="shared" si="32"/>
        <v>6035</v>
      </c>
      <c r="DN17" s="324">
        <f t="shared" si="58"/>
        <v>6493</v>
      </c>
      <c r="DO17" s="324">
        <f t="shared" si="58"/>
        <v>6493</v>
      </c>
      <c r="DP17" s="39"/>
      <c r="DQ17" s="34">
        <v>321.62900000000002</v>
      </c>
      <c r="DR17" s="34">
        <v>482.798</v>
      </c>
      <c r="DS17" s="34">
        <v>659.5</v>
      </c>
      <c r="DT17" s="34">
        <v>693.6</v>
      </c>
      <c r="DU17" s="34">
        <v>742.15200000000004</v>
      </c>
      <c r="DV17" s="34">
        <v>794.10264000000006</v>
      </c>
      <c r="DW17" s="34">
        <f>+DV17*1.04</f>
        <v>825.86674560000006</v>
      </c>
      <c r="DX17" s="323"/>
      <c r="DY17" s="34">
        <v>264.89999999999998</v>
      </c>
      <c r="DZ17" s="34">
        <v>396.3</v>
      </c>
      <c r="EA17" s="34">
        <v>560.9</v>
      </c>
      <c r="EB17" s="34">
        <v>605.29999999999995</v>
      </c>
      <c r="EC17" s="34">
        <v>671.33299999999997</v>
      </c>
      <c r="ED17" s="34">
        <v>718</v>
      </c>
      <c r="EE17" s="34">
        <f>+ED17*1.04</f>
        <v>746.72</v>
      </c>
      <c r="EF17" s="322"/>
      <c r="EG17" s="34">
        <v>257.2</v>
      </c>
      <c r="EH17" s="34">
        <v>385</v>
      </c>
      <c r="EI17" s="34">
        <v>439.2</v>
      </c>
      <c r="EJ17" s="34">
        <v>440.1</v>
      </c>
      <c r="EK17" s="34">
        <v>462.10500000000002</v>
      </c>
      <c r="EL17" s="34">
        <v>485.21025000000003</v>
      </c>
      <c r="EM17" s="34">
        <f>+EL17*1.04</f>
        <v>504.61866000000003</v>
      </c>
      <c r="EN17" s="322"/>
      <c r="EO17" s="101" t="s">
        <v>108</v>
      </c>
      <c r="EP17" s="101" t="s">
        <v>108</v>
      </c>
      <c r="EQ17" s="101" t="s">
        <v>108</v>
      </c>
      <c r="ER17" s="101" t="s">
        <v>108</v>
      </c>
      <c r="ES17" s="101" t="s">
        <v>108</v>
      </c>
      <c r="ET17" s="101" t="s">
        <v>108</v>
      </c>
      <c r="EU17" s="101" t="s">
        <v>108</v>
      </c>
      <c r="EW17" s="34">
        <v>237.1</v>
      </c>
      <c r="EX17" s="34">
        <v>338.1</v>
      </c>
      <c r="EY17" s="34">
        <v>418.1</v>
      </c>
      <c r="EZ17" s="34">
        <v>440</v>
      </c>
      <c r="FA17" s="34">
        <f>+EK17*96%</f>
        <v>443.62079999999997</v>
      </c>
      <c r="FB17" s="34">
        <f>+EL17*96%</f>
        <v>465.80184000000003</v>
      </c>
      <c r="FC17" s="34">
        <f>+EM17*95%</f>
        <v>479.38772699999998</v>
      </c>
      <c r="FD17" s="36"/>
      <c r="FE17" s="54">
        <f t="shared" si="64"/>
        <v>0.76197324895728458</v>
      </c>
      <c r="FF17" s="54">
        <f t="shared" si="65"/>
        <v>0.9068649885583524</v>
      </c>
      <c r="FG17" s="54">
        <f t="shared" si="66"/>
        <v>1.279133409350057</v>
      </c>
      <c r="FH17" s="54">
        <f t="shared" si="67"/>
        <v>1.375681818181818</v>
      </c>
      <c r="FI17" s="54">
        <f t="shared" si="68"/>
        <v>1.5257568181818182</v>
      </c>
      <c r="FJ17" s="54">
        <f t="shared" si="69"/>
        <v>1.6318181818181818</v>
      </c>
      <c r="FK17" s="54">
        <f t="shared" si="70"/>
        <v>1.6970909090909092</v>
      </c>
      <c r="FL17" s="55"/>
      <c r="FM17" s="54">
        <f t="shared" si="85"/>
        <v>0.73982453617143684</v>
      </c>
      <c r="FN17" s="54">
        <f t="shared" si="86"/>
        <v>0.8810068649885584</v>
      </c>
      <c r="FO17" s="54">
        <f>+EI17/CU17</f>
        <v>1.0015963511972634</v>
      </c>
      <c r="FP17" s="54">
        <f>+EJ17/CV17</f>
        <v>1.0002272727272727</v>
      </c>
      <c r="FQ17" s="54">
        <f>+EK17/CW17</f>
        <v>1.0502386363636365</v>
      </c>
      <c r="FR17" s="54">
        <f t="shared" si="41"/>
        <v>1.1027505681818182</v>
      </c>
      <c r="FS17" s="54">
        <f>+EM17/CY17</f>
        <v>1.146860590909091</v>
      </c>
      <c r="FT17" s="363"/>
      <c r="FU17" s="363"/>
      <c r="FV17" s="54"/>
      <c r="FW17" s="54"/>
      <c r="FX17" s="54"/>
      <c r="FY17" s="54"/>
      <c r="FZ17" s="54"/>
      <c r="GA17" s="54"/>
      <c r="GB17" s="54"/>
      <c r="GC17" s="363"/>
      <c r="GD17" s="54">
        <f t="shared" ref="GD17" si="110">+EW17/CS17</f>
        <v>0.68200776643175609</v>
      </c>
      <c r="GE17" s="54">
        <f t="shared" ref="GE17" si="111">+EX17/CT17</f>
        <v>0.77368421052631586</v>
      </c>
      <c r="GF17" s="54">
        <f t="shared" ref="GF17" si="112">+EY17/CU17</f>
        <v>0.95347776510832394</v>
      </c>
      <c r="GG17" s="54">
        <f t="shared" si="75"/>
        <v>1</v>
      </c>
      <c r="GH17" s="54">
        <f t="shared" si="76"/>
        <v>1.0082290909090907</v>
      </c>
      <c r="GI17" s="54">
        <f t="shared" si="77"/>
        <v>1.0586405454545456</v>
      </c>
      <c r="GJ17" s="54">
        <f t="shared" si="78"/>
        <v>1.0895175613636363</v>
      </c>
      <c r="GK17" s="55"/>
      <c r="GL17" s="54">
        <f t="shared" si="79"/>
        <v>20.677508988925645</v>
      </c>
      <c r="GM17" s="54">
        <f t="shared" si="80"/>
        <v>16.109853546910756</v>
      </c>
      <c r="GN17" s="54">
        <f t="shared" si="81"/>
        <v>15.611762827822121</v>
      </c>
      <c r="GO17" s="54">
        <f t="shared" si="82"/>
        <v>19.624968181818183</v>
      </c>
      <c r="GP17" s="54">
        <f t="shared" ref="GP17" si="113">+CN17/CW17</f>
        <v>20.213717227272731</v>
      </c>
      <c r="GQ17" s="54">
        <f t="shared" si="83"/>
        <v>20.213717227272731</v>
      </c>
      <c r="GR17" s="54">
        <f t="shared" si="84"/>
        <v>20.820128744090912</v>
      </c>
    </row>
    <row r="18" spans="1:200" ht="11.45" customHeight="1">
      <c r="A18" s="37">
        <f t="shared" si="63"/>
        <v>19.123999999999999</v>
      </c>
      <c r="B18" s="64">
        <f t="shared" si="63"/>
        <v>3.1419999999999997E-2</v>
      </c>
      <c r="D18" s="6"/>
      <c r="E18" s="20" t="s">
        <v>30</v>
      </c>
      <c r="F18" s="20" t="s">
        <v>5</v>
      </c>
      <c r="G18" s="21">
        <f>+Bloomberg!F43</f>
        <v>12.15</v>
      </c>
      <c r="H18" s="22">
        <f t="shared" si="1"/>
        <v>404.18377040368125</v>
      </c>
      <c r="I18" s="22"/>
      <c r="J18" s="23"/>
      <c r="K18" s="23">
        <f t="shared" ref="K18:P18" si="114">+FN18/$G18</f>
        <v>7.0435203182921416E-2</v>
      </c>
      <c r="L18" s="23">
        <f t="shared" si="114"/>
        <v>7.2545319279950338E-2</v>
      </c>
      <c r="M18" s="23">
        <f t="shared" si="114"/>
        <v>7.5756111557472389E-2</v>
      </c>
      <c r="N18" s="23">
        <f t="shared" si="114"/>
        <v>9.1912478087369576E-2</v>
      </c>
      <c r="O18" s="23">
        <f t="shared" si="114"/>
        <v>0.10493994455436173</v>
      </c>
      <c r="P18" s="23">
        <f t="shared" si="114"/>
        <v>9.5303441504307432E-2</v>
      </c>
      <c r="Q18" s="24"/>
      <c r="R18" s="23">
        <f t="shared" si="3"/>
        <v>0</v>
      </c>
      <c r="S18" s="23">
        <f t="shared" si="4"/>
        <v>6.7280572948246978E-2</v>
      </c>
      <c r="T18" s="23">
        <f t="shared" si="5"/>
        <v>9.6362139917695475E-2</v>
      </c>
      <c r="U18" s="23">
        <f t="shared" si="6"/>
        <v>6.9537864344929687E-2</v>
      </c>
      <c r="V18" s="23">
        <f t="shared" si="7"/>
        <v>7.3453011391763232E-2</v>
      </c>
      <c r="W18" s="23">
        <f t="shared" si="8"/>
        <v>8.8012713117622196E-2</v>
      </c>
      <c r="X18" s="23">
        <f t="shared" si="9"/>
        <v>9.1254967247744179E-2</v>
      </c>
      <c r="Y18" s="23">
        <f t="shared" si="10"/>
        <v>9.0843260071357859E-2</v>
      </c>
      <c r="Z18" s="24"/>
      <c r="AA18" s="56">
        <f t="shared" si="11"/>
        <v>0.89533727118981299</v>
      </c>
      <c r="AB18" s="56">
        <f t="shared" si="12"/>
        <v>0.89006653893045762</v>
      </c>
      <c r="AC18" s="56">
        <f t="shared" si="13"/>
        <v>0.89183772784341331</v>
      </c>
      <c r="AD18" s="56">
        <f t="shared" si="14"/>
        <v>0.91526959954711218</v>
      </c>
      <c r="AE18" s="56">
        <f t="shared" si="51"/>
        <v>0.87210191753899158</v>
      </c>
      <c r="AF18" s="56">
        <f t="shared" si="15"/>
        <v>0.869942980904992</v>
      </c>
      <c r="AG18" s="56">
        <f t="shared" si="16"/>
        <v>0.86259950293869136</v>
      </c>
      <c r="AH18" s="24"/>
      <c r="AI18" s="23"/>
      <c r="AJ18" s="24"/>
      <c r="AK18" s="23">
        <f t="shared" si="18"/>
        <v>6.3502111257047661E-2</v>
      </c>
      <c r="AL18" s="23">
        <f t="shared" si="19"/>
        <v>7.172815314183717E-2</v>
      </c>
      <c r="AM18" s="23">
        <f t="shared" si="20"/>
        <v>7.0177212182664747E-2</v>
      </c>
      <c r="AN18" s="23">
        <f t="shared" si="21"/>
        <v>7.6502274239128143E-2</v>
      </c>
      <c r="AO18" s="23">
        <f t="shared" si="22"/>
        <v>7.9779106575113626E-2</v>
      </c>
      <c r="AP18" s="23">
        <f>+EE18/DO18</f>
        <v>8.2930788834754521E-2</v>
      </c>
      <c r="AQ18" s="24"/>
      <c r="AR18" s="23"/>
      <c r="AS18" s="23">
        <f t="shared" ref="AS18:AX18" si="115">+DR18/DJ18</f>
        <v>7.576711458866682E-2</v>
      </c>
      <c r="AT18" s="23">
        <f t="shared" si="115"/>
        <v>8.2054019670160863E-2</v>
      </c>
      <c r="AU18" s="23">
        <f t="shared" si="115"/>
        <v>7.8395035256914422E-2</v>
      </c>
      <c r="AV18" s="23">
        <f t="shared" si="115"/>
        <v>8.5721988102848451E-2</v>
      </c>
      <c r="AW18" s="23">
        <f t="shared" si="115"/>
        <v>8.8846358769470085E-2</v>
      </c>
      <c r="AX18" s="23">
        <f t="shared" si="115"/>
        <v>9.2979030072553787E-2</v>
      </c>
      <c r="AY18" s="24"/>
      <c r="AZ18" s="23">
        <f t="shared" si="54"/>
        <v>4.8359106575113629E-2</v>
      </c>
      <c r="BA18" s="23">
        <f t="shared" si="25"/>
        <v>4.8359106575113629E-2</v>
      </c>
      <c r="BB18" s="6"/>
      <c r="BC18" s="25"/>
      <c r="BD18" s="25"/>
      <c r="BE18" s="320"/>
      <c r="BF18" s="40">
        <v>0.65</v>
      </c>
      <c r="BG18" s="317"/>
      <c r="BH18" s="40">
        <v>1</v>
      </c>
      <c r="BI18" s="317"/>
      <c r="BJ18" s="40">
        <f t="shared" si="26"/>
        <v>0.35970182697346087</v>
      </c>
      <c r="BK18" s="321"/>
      <c r="BL18" s="321"/>
      <c r="BM18" s="40">
        <f t="shared" si="27"/>
        <v>0.30977192420941263</v>
      </c>
      <c r="BN18" s="317"/>
      <c r="BO18" s="40">
        <f t="shared" si="55"/>
        <v>0.43182621596036452</v>
      </c>
      <c r="BP18" s="317"/>
      <c r="BQ18" s="40">
        <f t="shared" si="56"/>
        <v>0.37188478848616191</v>
      </c>
      <c r="BR18" s="317"/>
      <c r="BS18" s="40">
        <v>0.14000000000000001</v>
      </c>
      <c r="BT18" s="317"/>
      <c r="BU18" s="390">
        <f t="shared" si="57"/>
        <v>14397.144</v>
      </c>
      <c r="BV18" s="317"/>
      <c r="BW18" s="40">
        <v>0.22</v>
      </c>
      <c r="BY18" s="48" t="s">
        <v>21</v>
      </c>
      <c r="BZ18" s="335">
        <v>14397.144</v>
      </c>
      <c r="CA18" s="335">
        <v>718.84799999999996</v>
      </c>
      <c r="CB18" s="335">
        <v>0.16200000000000001</v>
      </c>
      <c r="CC18" s="335">
        <f>175.068+5003.611</f>
        <v>5178.6790000000001</v>
      </c>
      <c r="CD18" s="336">
        <v>0.29270000000000002</v>
      </c>
      <c r="CE18" s="313"/>
      <c r="CF18" s="313"/>
      <c r="CG18" s="313"/>
      <c r="CH18" s="39"/>
      <c r="CI18" s="98">
        <v>8553.223</v>
      </c>
      <c r="CJ18" s="33">
        <f>+'Consensus Non-BTG Coverage'!F42</f>
        <v>4020.8</v>
      </c>
      <c r="CK18" s="33">
        <v>4114.2079999999996</v>
      </c>
      <c r="CL18" s="33">
        <v>6573.4290000000001</v>
      </c>
      <c r="CM18" s="33">
        <v>8467.4380000000001</v>
      </c>
      <c r="CN18" s="33">
        <v>8863.0010000000002</v>
      </c>
      <c r="CO18" s="33">
        <v>8938.0603089194738</v>
      </c>
      <c r="CP18" s="33">
        <v>9014.1517612289244</v>
      </c>
      <c r="CQ18" s="39"/>
      <c r="CR18" s="98">
        <v>636.18192799999997</v>
      </c>
      <c r="CS18" s="33">
        <f>+'Consensus Non-BTG Coverage'!M42</f>
        <v>296.29399999999998</v>
      </c>
      <c r="CT18" s="33">
        <f>+'Consensus Non-BTG Coverage'!N42</f>
        <v>301.39249999999998</v>
      </c>
      <c r="CU18" s="33">
        <v>482.50468999999998</v>
      </c>
      <c r="CV18" s="33">
        <v>637.85914300000002</v>
      </c>
      <c r="CW18" s="33">
        <v>636.16791499999999</v>
      </c>
      <c r="CX18" s="33">
        <v>639.967311</v>
      </c>
      <c r="CY18" s="33">
        <v>639.967311</v>
      </c>
      <c r="CZ18" s="39"/>
      <c r="DA18" s="33">
        <f>+(-108.318)-314.738</f>
        <v>-423.05599999999998</v>
      </c>
      <c r="DB18" s="33">
        <f>+(89.272+637.032-278.632)+0.93-84.513</f>
        <v>364.08900000000006</v>
      </c>
      <c r="DC18" s="33">
        <v>483.96033333333332</v>
      </c>
      <c r="DD18" s="33">
        <v>1412.9003333333333</v>
      </c>
      <c r="DE18" s="33">
        <v>1998.5189999999998</v>
      </c>
      <c r="DF18" s="33">
        <v>4216.9043619632921</v>
      </c>
      <c r="DG18" s="33">
        <v>4015.628685508088</v>
      </c>
      <c r="DH18" s="39"/>
      <c r="DI18" s="33">
        <f t="shared" si="28"/>
        <v>3176.9160999999999</v>
      </c>
      <c r="DJ18" s="33">
        <f t="shared" si="29"/>
        <v>4026.0078749999998</v>
      </c>
      <c r="DK18" s="33">
        <f t="shared" si="30"/>
        <v>6346.3923168333331</v>
      </c>
      <c r="DL18" s="33">
        <f t="shared" si="31"/>
        <v>9162.8889207833345</v>
      </c>
      <c r="DM18" s="325">
        <f t="shared" si="32"/>
        <v>9727.9591672499992</v>
      </c>
      <c r="DN18" s="325">
        <f t="shared" si="58"/>
        <v>11992.507190613293</v>
      </c>
      <c r="DO18" s="325">
        <f t="shared" si="58"/>
        <v>11791.231514158088</v>
      </c>
      <c r="DP18" s="39"/>
      <c r="DQ18" s="33">
        <v>0</v>
      </c>
      <c r="DR18" s="33">
        <v>305.03899999999999</v>
      </c>
      <c r="DS18" s="33">
        <v>520.74700000000007</v>
      </c>
      <c r="DT18" s="33">
        <v>718.32500000000005</v>
      </c>
      <c r="DU18" s="33">
        <v>833.9</v>
      </c>
      <c r="DV18" s="33">
        <v>1065.4905964026784</v>
      </c>
      <c r="DW18" s="33">
        <v>1096.3372695473488</v>
      </c>
      <c r="DX18"/>
      <c r="DY18" s="33">
        <f>+'Consensus Non-BTG Coverage'!AK42</f>
        <v>0</v>
      </c>
      <c r="DZ18" s="33">
        <v>255.66</v>
      </c>
      <c r="EA18" s="33">
        <v>455.21500000000009</v>
      </c>
      <c r="EB18" s="33">
        <v>643.02600000000007</v>
      </c>
      <c r="EC18" s="33">
        <v>744.21100000000001</v>
      </c>
      <c r="ED18" s="33">
        <v>956.75150926275433</v>
      </c>
      <c r="EE18" s="33">
        <v>977.85613080234714</v>
      </c>
      <c r="EG18" s="33">
        <v>0</v>
      </c>
      <c r="EH18" s="33">
        <v>257.928</v>
      </c>
      <c r="EI18" s="33">
        <v>425.29200000000003</v>
      </c>
      <c r="EJ18" s="33">
        <v>587.10900000000004</v>
      </c>
      <c r="EK18" s="33">
        <v>710.4319999999999</v>
      </c>
      <c r="EL18" s="33">
        <v>815.97132971526923</v>
      </c>
      <c r="EM18" s="33">
        <v>741.04170934097272</v>
      </c>
      <c r="EN18" s="104"/>
      <c r="EO18" s="100" t="s">
        <v>108</v>
      </c>
      <c r="EP18" s="100">
        <v>246.376</v>
      </c>
      <c r="EQ18" s="33">
        <v>410.82700000000006</v>
      </c>
      <c r="ER18" s="33">
        <v>566.42200000000003</v>
      </c>
      <c r="ES18" s="33">
        <v>678.45999999999992</v>
      </c>
      <c r="ET18" s="33">
        <v>773.70670984154424</v>
      </c>
      <c r="EU18" s="33">
        <v>697.38726701372059</v>
      </c>
      <c r="EW18" s="33"/>
      <c r="EX18" s="33">
        <v>246.376</v>
      </c>
      <c r="EY18" s="33">
        <v>407.66100000000006</v>
      </c>
      <c r="EZ18" s="33">
        <v>569.26</v>
      </c>
      <c r="FA18" s="33">
        <v>680.28899999999999</v>
      </c>
      <c r="FB18" s="33">
        <v>709.56238145992268</v>
      </c>
      <c r="FC18" s="33">
        <v>706.36110997463777</v>
      </c>
      <c r="FE18" s="52">
        <f t="shared" ref="FE18" si="116">+DY18/CS18</f>
        <v>0</v>
      </c>
      <c r="FF18" s="52">
        <f t="shared" ref="FF18" si="117">+DZ18/CT18</f>
        <v>0.84826264754431513</v>
      </c>
      <c r="FG18" s="52">
        <f t="shared" ref="FG18" si="118">+EA18/CU18</f>
        <v>0.94344160675412314</v>
      </c>
      <c r="FH18" s="52">
        <f t="shared" ref="FH18" si="119">+EB18/CV18</f>
        <v>1.008100310321961</v>
      </c>
      <c r="FI18" s="52">
        <f t="shared" ref="FI18" si="120">+EC18/CW18</f>
        <v>1.1698342252925471</v>
      </c>
      <c r="FJ18" s="52">
        <f t="shared" ref="FJ18" si="121">+ED18/CX18</f>
        <v>1.4950005927142649</v>
      </c>
      <c r="FK18" s="52">
        <f t="shared" ref="FK18" si="122">+EE18/CY18</f>
        <v>1.5279782482551632</v>
      </c>
      <c r="FM18" s="52">
        <f t="shared" si="85"/>
        <v>0</v>
      </c>
      <c r="FN18" s="52">
        <f t="shared" si="86"/>
        <v>0.85578771867249526</v>
      </c>
      <c r="FO18" s="52">
        <f t="shared" ref="FO18" si="123">+EI18/CU18</f>
        <v>0.88142562925139656</v>
      </c>
      <c r="FP18" s="52">
        <f t="shared" ref="FP18" si="124">+EJ18/CV18</f>
        <v>0.92043675542328951</v>
      </c>
      <c r="FQ18" s="52">
        <f t="shared" ref="FQ18" si="125">+EK18/CW18</f>
        <v>1.1167366087615405</v>
      </c>
      <c r="FR18" s="52">
        <f t="shared" si="41"/>
        <v>1.2750203263354951</v>
      </c>
      <c r="FS18" s="52">
        <f t="shared" ref="FS18" si="126">+EM18/CY18</f>
        <v>1.1579368142773354</v>
      </c>
      <c r="FT18" s="361"/>
      <c r="FU18" s="361"/>
      <c r="FV18" s="52"/>
      <c r="FW18" s="52"/>
      <c r="FX18" s="52"/>
      <c r="FY18" s="52"/>
      <c r="FZ18" s="52"/>
      <c r="GA18" s="52"/>
      <c r="GB18" s="52"/>
      <c r="GC18" s="361"/>
      <c r="GD18" s="52">
        <f>+EW18/CS18</f>
        <v>0</v>
      </c>
      <c r="GE18" s="52">
        <f>+EX18/CT18</f>
        <v>0.81745896132120077</v>
      </c>
      <c r="GF18" s="52">
        <f>+EY18/CU18</f>
        <v>0.84488505179089568</v>
      </c>
      <c r="GG18" s="52">
        <f t="shared" si="75"/>
        <v>0.89245408840992335</v>
      </c>
      <c r="GH18" s="52">
        <f t="shared" si="76"/>
        <v>1.0693544643791097</v>
      </c>
      <c r="GI18" s="52">
        <f t="shared" si="77"/>
        <v>1.1087478520600917</v>
      </c>
      <c r="GJ18" s="52">
        <f t="shared" si="78"/>
        <v>1.103745609866998</v>
      </c>
      <c r="GL18" s="52">
        <f t="shared" ref="GL18" si="127">+CJ18/CS18</f>
        <v>13.570305169865067</v>
      </c>
      <c r="GM18" s="52">
        <f t="shared" ref="GM18" si="128">+CK18/CT18</f>
        <v>13.650664830743963</v>
      </c>
      <c r="GN18" s="52">
        <f t="shared" ref="GN18" si="129">+CL18/CU18</f>
        <v>13.623554622857656</v>
      </c>
      <c r="GO18" s="52">
        <f t="shared" ref="GO18" si="130">+CM18/CV18</f>
        <v>13.274777186975275</v>
      </c>
      <c r="GP18" s="52">
        <f>+CN18/CW18</f>
        <v>13.931857912073419</v>
      </c>
      <c r="GQ18" s="52">
        <f t="shared" ref="GQ18" si="131">+CO18/CX18</f>
        <v>13.966432590053765</v>
      </c>
      <c r="GR18" s="52">
        <f t="shared" ref="GR18" si="132">+CP18/CY18</f>
        <v>14.085331557237811</v>
      </c>
    </row>
    <row r="19" spans="1:200" ht="11.45" customHeight="1">
      <c r="A19" s="37"/>
      <c r="B19" s="63"/>
      <c r="D19" s="8"/>
      <c r="E19" s="9" t="s">
        <v>8</v>
      </c>
      <c r="F19" s="9"/>
      <c r="G19" s="10"/>
      <c r="H19" s="12"/>
      <c r="I19" s="11"/>
      <c r="J19" s="12">
        <f t="shared" ref="J19:P19" si="133">+AVERAGE(J10:J18)</f>
        <v>7.2838649617189305E-2</v>
      </c>
      <c r="K19" s="12">
        <f t="shared" si="133"/>
        <v>8.0202642289038575E-2</v>
      </c>
      <c r="L19" s="12">
        <f t="shared" si="133"/>
        <v>8.9800851136439624E-2</v>
      </c>
      <c r="M19" s="12">
        <f t="shared" si="133"/>
        <v>9.3361506367966862E-2</v>
      </c>
      <c r="N19" s="12">
        <f t="shared" si="133"/>
        <v>0.10084951755523837</v>
      </c>
      <c r="O19" s="12">
        <f t="shared" si="133"/>
        <v>0.10495980300933386</v>
      </c>
      <c r="P19" s="12">
        <f t="shared" si="133"/>
        <v>0.1044724994529829</v>
      </c>
      <c r="Q19" s="12"/>
      <c r="R19" s="12">
        <f t="shared" ref="R19:Y19" si="134">+AVERAGE(R10:R18)</f>
        <v>5.8257299764930139E-2</v>
      </c>
      <c r="S19" s="12">
        <f t="shared" si="134"/>
        <v>7.1905027654697709E-2</v>
      </c>
      <c r="T19" s="12">
        <f t="shared" si="134"/>
        <v>7.888490940459926E-2</v>
      </c>
      <c r="U19" s="12">
        <f t="shared" si="134"/>
        <v>8.2598175310611352E-2</v>
      </c>
      <c r="V19" s="12">
        <f t="shared" si="134"/>
        <v>8.1806191913093546E-2</v>
      </c>
      <c r="W19" s="377">
        <f t="shared" si="134"/>
        <v>8.8974096239024025E-2</v>
      </c>
      <c r="X19" s="377">
        <f t="shared" si="134"/>
        <v>8.829546824183164E-2</v>
      </c>
      <c r="Y19" s="377">
        <f t="shared" si="134"/>
        <v>8.8819053002975393E-2</v>
      </c>
      <c r="Z19" s="378"/>
      <c r="AA19" s="379">
        <f t="shared" ref="AA19:AG19" si="135">+AVERAGE(AA10:AA18)</f>
        <v>0.73379598942891844</v>
      </c>
      <c r="AB19" s="379">
        <f t="shared" si="135"/>
        <v>0.75141259201625621</v>
      </c>
      <c r="AC19" s="379">
        <f t="shared" si="135"/>
        <v>0.70751441199252363</v>
      </c>
      <c r="AD19" s="379">
        <f t="shared" si="135"/>
        <v>0.68807265252340433</v>
      </c>
      <c r="AE19" s="379">
        <f t="shared" si="135"/>
        <v>0.69752528179858597</v>
      </c>
      <c r="AF19" s="379">
        <f t="shared" si="135"/>
        <v>0.70699031858809858</v>
      </c>
      <c r="AG19" s="379">
        <f t="shared" si="135"/>
        <v>0.70381434143982269</v>
      </c>
      <c r="AH19" s="378"/>
      <c r="AI19" s="377">
        <f>+AVERAGE(AI10:AI18)</f>
        <v>8.7561859720928739E-2</v>
      </c>
      <c r="AJ19" s="378"/>
      <c r="AK19" s="377">
        <f t="shared" ref="AK19:AP19" si="136">+AVERAGE(AK10:AK18)</f>
        <v>7.1600245666848014E-2</v>
      </c>
      <c r="AL19" s="377">
        <f t="shared" si="136"/>
        <v>7.8503693051995616E-2</v>
      </c>
      <c r="AM19" s="377">
        <f t="shared" si="136"/>
        <v>8.4187355968200317E-2</v>
      </c>
      <c r="AN19" s="377">
        <f t="shared" si="136"/>
        <v>8.3911413026050152E-2</v>
      </c>
      <c r="AO19" s="377">
        <f t="shared" si="136"/>
        <v>8.6129813530865407E-2</v>
      </c>
      <c r="AP19" s="377">
        <f t="shared" si="136"/>
        <v>8.8920155980098878E-2</v>
      </c>
      <c r="AQ19" s="378"/>
      <c r="AR19" s="377">
        <f t="shared" ref="AR19:AX19" si="137">+AVERAGE(AR10:AR18)</f>
        <v>0.10623731064236731</v>
      </c>
      <c r="AS19" s="377">
        <f t="shared" si="137"/>
        <v>8.4767915258361234E-2</v>
      </c>
      <c r="AT19" s="377">
        <f t="shared" si="137"/>
        <v>8.883170589937267E-2</v>
      </c>
      <c r="AU19" s="377">
        <f t="shared" si="137"/>
        <v>9.4151343484341538E-2</v>
      </c>
      <c r="AV19" s="377">
        <f t="shared" si="137"/>
        <v>9.2905837773092262E-2</v>
      </c>
      <c r="AW19" s="377">
        <f t="shared" si="137"/>
        <v>9.493452804631429E-2</v>
      </c>
      <c r="AX19" s="377">
        <f t="shared" si="137"/>
        <v>9.8097340927100221E-2</v>
      </c>
      <c r="AY19" s="378"/>
      <c r="AZ19" s="377">
        <f>+AVERAGE(AZ10:AZ18)</f>
        <v>5.4709813530865389E-2</v>
      </c>
      <c r="BA19" s="377">
        <f>+AVERAGE(BA10:BA18)</f>
        <v>5.4709813530865389E-2</v>
      </c>
      <c r="BB19" s="332"/>
      <c r="BC19" s="18"/>
      <c r="BD19" s="18"/>
      <c r="BE19" s="320"/>
      <c r="BF19" s="321"/>
      <c r="BG19" s="318"/>
      <c r="BH19" s="318"/>
      <c r="BI19" s="318"/>
      <c r="BJ19" s="318"/>
      <c r="BK19" s="321"/>
      <c r="BL19" s="321"/>
      <c r="BM19" s="318"/>
      <c r="BN19" s="318"/>
      <c r="BO19" s="321"/>
      <c r="BP19" s="318"/>
      <c r="BQ19" s="321"/>
      <c r="BR19" s="318"/>
      <c r="BS19" s="321"/>
      <c r="BT19" s="318"/>
      <c r="BU19" s="319"/>
      <c r="BV19" s="318"/>
      <c r="BW19" s="318"/>
      <c r="CA19" s="361"/>
      <c r="CB19" s="361"/>
      <c r="CC19" s="55"/>
      <c r="CD19" s="373"/>
      <c r="CE19" s="373"/>
      <c r="CF19" s="373"/>
      <c r="CG19" s="373"/>
      <c r="CH19" s="361"/>
      <c r="CI19" s="361"/>
      <c r="CJ19" s="361"/>
      <c r="CK19" s="361"/>
      <c r="CL19" s="361"/>
      <c r="CM19" s="362"/>
      <c r="CN19" s="370">
        <f>+CM16+EK16-ES16</f>
        <v>13660.539999999999</v>
      </c>
      <c r="CO19" s="370">
        <f>+CM16+EL16-ET16</f>
        <v>13658.215206000001</v>
      </c>
      <c r="CP19" s="370">
        <f>+CN16+EM16-EU16</f>
        <v>13830.150050120001</v>
      </c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8"/>
      <c r="DU19" s="367">
        <f>+EC16/31%</f>
        <v>3726.9387096774199</v>
      </c>
      <c r="DV19" s="367">
        <f>+ED16/31%</f>
        <v>3913.2856451612906</v>
      </c>
      <c r="DW19" s="367">
        <f>+EE16/31%</f>
        <v>4108.9499274193549</v>
      </c>
      <c r="DX19" s="368"/>
      <c r="DY19" s="368"/>
      <c r="DZ19" s="368"/>
      <c r="EA19" s="368"/>
      <c r="EB19" s="368"/>
      <c r="EC19" s="367">
        <f>+EC16/DU19</f>
        <v>0.31</v>
      </c>
      <c r="ED19" s="367">
        <f>+ED16/DV19</f>
        <v>0.31</v>
      </c>
      <c r="EE19" s="367">
        <f>+EE16/DW19</f>
        <v>0.31</v>
      </c>
      <c r="EF19" s="368"/>
      <c r="EG19" s="369"/>
      <c r="EH19" s="368"/>
      <c r="EI19" s="368"/>
      <c r="EJ19" s="368"/>
      <c r="EK19" s="370">
        <f>+EC16-200</f>
        <v>955.35100000000011</v>
      </c>
      <c r="EL19" s="370">
        <f>+ED16-215</f>
        <v>998.11855000000014</v>
      </c>
      <c r="EM19" s="370">
        <f>+EE16-215</f>
        <v>1058.7744775000001</v>
      </c>
      <c r="EN19" s="368"/>
      <c r="EO19" s="369"/>
      <c r="EP19" s="368"/>
      <c r="EQ19" s="368"/>
      <c r="ER19" s="368"/>
      <c r="ES19" s="370">
        <f>+EK16-170</f>
        <v>778.45299999999997</v>
      </c>
      <c r="ET19" s="370">
        <f>+EL16-170</f>
        <v>797.42205999999999</v>
      </c>
      <c r="EU19" s="370">
        <f>+EM16-170</f>
        <v>816.77050120000001</v>
      </c>
      <c r="EV19" s="368"/>
      <c r="EW19" s="368"/>
      <c r="EX19" s="368"/>
      <c r="EY19" s="368"/>
      <c r="EZ19" s="371"/>
      <c r="FA19" s="371"/>
      <c r="FB19" s="371"/>
      <c r="FC19" s="371"/>
      <c r="FD19" s="368"/>
      <c r="FE19" s="368"/>
      <c r="FF19" s="368"/>
      <c r="FG19" s="368"/>
      <c r="FH19" s="368"/>
      <c r="FI19" s="368"/>
      <c r="FJ19" s="368"/>
      <c r="FK19" s="368"/>
      <c r="FL19" s="368"/>
      <c r="FM19" s="54"/>
      <c r="FN19" s="54"/>
      <c r="FO19" s="54"/>
      <c r="FP19" s="54"/>
      <c r="FQ19" s="54"/>
      <c r="FR19" s="54"/>
      <c r="FS19" s="54"/>
      <c r="FT19" s="368"/>
      <c r="FU19" s="368"/>
      <c r="FV19" s="368"/>
      <c r="FW19" s="368"/>
      <c r="FX19" s="368"/>
      <c r="FY19" s="368"/>
      <c r="FZ19" s="361"/>
      <c r="GA19" s="361"/>
      <c r="GB19" s="361"/>
      <c r="GC19" s="361"/>
      <c r="GD19" s="54"/>
      <c r="GE19" s="54"/>
      <c r="GF19" s="54"/>
      <c r="GG19" s="54"/>
      <c r="GH19" s="54"/>
      <c r="GI19" s="54"/>
      <c r="GJ19" s="54"/>
    </row>
    <row r="20" spans="1:200" ht="8.1" customHeight="1">
      <c r="A20" s="37"/>
      <c r="B20" s="63"/>
      <c r="D20" s="14"/>
      <c r="E20" s="15"/>
      <c r="F20" s="15"/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7"/>
      <c r="S20" s="17"/>
      <c r="T20" s="17"/>
      <c r="U20" s="17"/>
      <c r="V20" s="17"/>
      <c r="W20" s="17"/>
      <c r="X20" s="17"/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8"/>
      <c r="BD20" s="18"/>
      <c r="BE20" s="320"/>
      <c r="BF20" s="321"/>
      <c r="BG20" s="318"/>
      <c r="BH20" s="318"/>
      <c r="BI20" s="318"/>
      <c r="BJ20" s="318"/>
      <c r="BK20" s="321"/>
      <c r="BL20" s="321"/>
      <c r="BM20" s="318"/>
      <c r="BN20" s="318"/>
      <c r="BO20" s="321"/>
      <c r="BP20" s="318"/>
      <c r="BQ20" s="321"/>
      <c r="BR20" s="318"/>
      <c r="BS20" s="321"/>
      <c r="BT20" s="318"/>
      <c r="BU20" s="319"/>
      <c r="BV20" s="318"/>
      <c r="BW20" s="318"/>
      <c r="CA20" s="361"/>
      <c r="CB20" s="361"/>
      <c r="CD20" s="373"/>
      <c r="CE20" s="373"/>
      <c r="CF20" s="373"/>
      <c r="CG20" s="373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8"/>
      <c r="DU20" s="367">
        <f>+DU16/DU19</f>
        <v>0.3711925813021324</v>
      </c>
      <c r="DV20" s="367">
        <f>+DV16/DV19</f>
        <v>0.37119258130213245</v>
      </c>
      <c r="DW20" s="367">
        <f>+DW16/DW19</f>
        <v>0.37119258130213245</v>
      </c>
      <c r="DX20" s="368"/>
      <c r="DY20" s="371"/>
      <c r="DZ20" s="371"/>
      <c r="EA20" s="368"/>
      <c r="EB20" s="368"/>
      <c r="EC20" s="368"/>
      <c r="ED20" s="368"/>
      <c r="EE20" s="368"/>
      <c r="EF20" s="368"/>
      <c r="EG20" s="368"/>
      <c r="EH20" s="368"/>
      <c r="EI20" s="368"/>
      <c r="EJ20" s="368"/>
      <c r="EK20" s="368"/>
      <c r="EL20" s="368"/>
      <c r="EM20" s="368"/>
      <c r="EN20" s="372"/>
      <c r="EO20" s="368"/>
      <c r="EP20" s="368"/>
      <c r="EQ20" s="368"/>
      <c r="ER20" s="368"/>
      <c r="ES20" s="368"/>
      <c r="ET20" s="368"/>
      <c r="EU20" s="368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</row>
    <row r="21" spans="1:200" ht="11.45" customHeight="1">
      <c r="A21" s="7"/>
      <c r="B21" s="7"/>
      <c r="D21" s="19"/>
      <c r="E21" s="6" t="s">
        <v>142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8"/>
      <c r="BD21" s="18"/>
      <c r="BE21" s="320"/>
      <c r="BF21" s="321"/>
      <c r="BG21" s="318"/>
      <c r="BH21" s="318"/>
      <c r="BI21" s="318"/>
      <c r="BJ21" s="318"/>
      <c r="BK21" s="321"/>
      <c r="BL21" s="321"/>
      <c r="BM21" s="318"/>
      <c r="BN21" s="318"/>
      <c r="BO21" s="321"/>
      <c r="BP21" s="318"/>
      <c r="BQ21" s="321"/>
      <c r="BR21" s="318"/>
      <c r="BS21" s="321"/>
      <c r="BT21" s="318"/>
      <c r="BU21" s="319"/>
      <c r="BV21" s="318"/>
      <c r="BW21" s="318"/>
      <c r="CD21" s="314"/>
      <c r="CE21" s="314"/>
      <c r="CF21" s="314"/>
      <c r="CG21" s="314"/>
      <c r="DR21"/>
      <c r="DS21"/>
      <c r="DT21" s="374"/>
      <c r="DU21" s="367">
        <f>+DU19*36%</f>
        <v>1341.6979354838711</v>
      </c>
      <c r="DV21" s="367">
        <f>+DV19*36%</f>
        <v>1408.7828322580647</v>
      </c>
      <c r="DW21" s="367">
        <f>+DW19*36%</f>
        <v>1479.2219738709678</v>
      </c>
      <c r="DX21" s="374"/>
      <c r="DY21" s="368"/>
      <c r="DZ21" s="375"/>
      <c r="EA21" s="375"/>
      <c r="EB21" s="375"/>
      <c r="EC21" s="375"/>
      <c r="ED21" s="375"/>
      <c r="EE21" s="375"/>
      <c r="EF21" s="368"/>
      <c r="EG21" s="368"/>
      <c r="EH21" s="374"/>
      <c r="EI21" s="374"/>
      <c r="EJ21" s="374"/>
      <c r="EK21" s="374"/>
      <c r="EL21" s="374"/>
      <c r="EM21" s="374"/>
      <c r="EN21" s="368"/>
      <c r="EO21" s="368"/>
      <c r="EP21" s="374"/>
      <c r="EQ21" s="374"/>
      <c r="ER21" s="374"/>
      <c r="ES21" s="374"/>
      <c r="ET21" s="374"/>
      <c r="EU21" s="374"/>
      <c r="EX21"/>
      <c r="EY21"/>
      <c r="EZ21"/>
      <c r="FA21"/>
      <c r="FB21"/>
      <c r="FC21"/>
      <c r="FF21"/>
      <c r="FG21"/>
      <c r="FH21"/>
      <c r="FI21"/>
      <c r="FJ21"/>
      <c r="FK21"/>
      <c r="FN21"/>
      <c r="FO21"/>
      <c r="FP21"/>
      <c r="FQ21" s="364"/>
      <c r="FR21" s="364"/>
      <c r="FS21" s="364"/>
      <c r="FT21" s="361"/>
      <c r="FU21" s="361"/>
      <c r="FV21" s="361"/>
      <c r="FW21" s="364"/>
      <c r="FX21" s="364"/>
      <c r="FY21" s="364"/>
      <c r="FZ21" s="364"/>
      <c r="GA21" s="364"/>
      <c r="GB21" s="364"/>
      <c r="GC21" s="361"/>
      <c r="GD21" s="361"/>
      <c r="GE21" s="364"/>
      <c r="GF21" s="364"/>
      <c r="GG21" s="364"/>
      <c r="GH21" s="364"/>
      <c r="GI21" s="364"/>
      <c r="GJ21" s="364"/>
      <c r="GM21"/>
      <c r="GN21"/>
      <c r="GO21"/>
      <c r="GP21"/>
      <c r="GQ21"/>
      <c r="GR21"/>
    </row>
    <row r="22" spans="1:200" ht="11.45" customHeight="1">
      <c r="A22" s="37">
        <f>+A13</f>
        <v>19.123999999999999</v>
      </c>
      <c r="B22" s="64">
        <f>+B13</f>
        <v>3.1419999999999997E-2</v>
      </c>
      <c r="D22" s="6"/>
      <c r="E22" s="20" t="s">
        <v>10</v>
      </c>
      <c r="F22" s="20" t="s">
        <v>5</v>
      </c>
      <c r="G22" s="21">
        <f>+Bloomberg!F47</f>
        <v>32.380000000000003</v>
      </c>
      <c r="H22" s="22">
        <f>+(G22*CR22)/A22</f>
        <v>1012.6961828069443</v>
      </c>
      <c r="I22" s="22"/>
      <c r="J22" s="23">
        <f>+(FM22*13.35)/$G22</f>
        <v>2.6357863730546618E-2</v>
      </c>
      <c r="K22" s="23">
        <f t="shared" ref="K22:P22" si="138">+(FN22*$A22)/$G22</f>
        <v>3.8341021617945385E-2</v>
      </c>
      <c r="L22" s="23">
        <f t="shared" si="138"/>
        <v>4.5776575416477124E-2</v>
      </c>
      <c r="M22" s="23">
        <f t="shared" si="138"/>
        <v>5.5006313544031238E-2</v>
      </c>
      <c r="N22" s="23">
        <f t="shared" si="138"/>
        <v>5.4795046662627703E-2</v>
      </c>
      <c r="O22" s="23">
        <f t="shared" si="138"/>
        <v>5.4339433737320447E-2</v>
      </c>
      <c r="P22" s="23">
        <f t="shared" si="138"/>
        <v>6.8792528769529501E-2</v>
      </c>
      <c r="Q22" s="24"/>
      <c r="R22" s="23">
        <f>+(GD22*13.35)/$G22</f>
        <v>1.3687395121882079E-2</v>
      </c>
      <c r="S22" s="23">
        <f>+(GE22*$A22)/$G22</f>
        <v>2.1187576094968977E-2</v>
      </c>
      <c r="T22" s="23">
        <f t="shared" ref="T22:Y22" si="139">+(GE22*$A22)/$G22</f>
        <v>2.1187576094968977E-2</v>
      </c>
      <c r="U22" s="23">
        <f t="shared" si="139"/>
        <v>2.7012318217956736E-2</v>
      </c>
      <c r="V22" s="23">
        <f t="shared" si="139"/>
        <v>3.7876218283970066E-2</v>
      </c>
      <c r="W22" s="23">
        <f t="shared" si="139"/>
        <v>4.7159500313507366E-2</v>
      </c>
      <c r="X22" s="23">
        <f t="shared" si="139"/>
        <v>5.3202681489801167E-2</v>
      </c>
      <c r="Y22" s="23">
        <f t="shared" si="139"/>
        <v>5.3053945619268218E-2</v>
      </c>
      <c r="Z22" s="24"/>
      <c r="AA22" s="56">
        <f t="shared" ref="AA22:AG22" si="140">+($G22/$A22)/GL22</f>
        <v>1.0770453027571294</v>
      </c>
      <c r="AB22" s="56">
        <f t="shared" si="140"/>
        <v>1.0807503243089558</v>
      </c>
      <c r="AC22" s="56">
        <f t="shared" si="140"/>
        <v>1.1123077834947188</v>
      </c>
      <c r="AD22" s="56">
        <f t="shared" si="140"/>
        <v>1.0100188927322145</v>
      </c>
      <c r="AE22" s="56">
        <f t="shared" si="140"/>
        <v>0.96389462620324695</v>
      </c>
      <c r="AF22" s="56">
        <f t="shared" si="140"/>
        <v>0.90505340987594118</v>
      </c>
      <c r="AG22" s="56">
        <f t="shared" si="140"/>
        <v>0.8973492142068813</v>
      </c>
      <c r="AH22" s="24"/>
      <c r="AI22" s="23">
        <f>+DY22/DI22</f>
        <v>6.6841422327614211E-2</v>
      </c>
      <c r="AJ22" s="24"/>
      <c r="AK22" s="23">
        <f t="shared" ref="AK22:AO25" si="141">+DZ22/DJ22</f>
        <v>5.2293523894097776E-2</v>
      </c>
      <c r="AL22" s="23">
        <f t="shared" si="141"/>
        <v>5.1327997242170603E-2</v>
      </c>
      <c r="AM22" s="23">
        <f t="shared" si="141"/>
        <v>5.5253156519281768E-2</v>
      </c>
      <c r="AN22" s="23">
        <f t="shared" si="141"/>
        <v>6.2553126526355127E-2</v>
      </c>
      <c r="AO22" s="23">
        <f t="shared" si="141"/>
        <v>7.0392720848734922E-2</v>
      </c>
      <c r="AP22" s="23">
        <f t="shared" ref="AP22:AP24" si="142">+EE22/DO22</f>
        <v>7.1968674007965833E-2</v>
      </c>
      <c r="AQ22" s="24"/>
      <c r="AR22" s="23">
        <f t="shared" ref="AR22:AW22" si="143">+DQ22/DI22</f>
        <v>7.748115096127535E-2</v>
      </c>
      <c r="AS22" s="23">
        <f t="shared" si="143"/>
        <v>6.1543681999183135E-2</v>
      </c>
      <c r="AT22" s="23">
        <f t="shared" si="143"/>
        <v>5.8920604889134691E-2</v>
      </c>
      <c r="AU22" s="23">
        <f t="shared" si="143"/>
        <v>6.3252104109250612E-2</v>
      </c>
      <c r="AV22" s="23">
        <f t="shared" si="143"/>
        <v>7.0857049447808032E-2</v>
      </c>
      <c r="AW22" s="23">
        <f t="shared" si="143"/>
        <v>7.9656152548277695E-2</v>
      </c>
      <c r="AX22" s="23">
        <f t="shared" ref="AX22" si="144">+DW22/DO22</f>
        <v>8.1974005190263766E-2</v>
      </c>
      <c r="AY22" s="24"/>
      <c r="AZ22" s="23">
        <f t="shared" ref="AZ22:AZ25" si="145">+AO22-B22</f>
        <v>3.8972720848734925E-2</v>
      </c>
      <c r="BA22" s="23">
        <f>+AZ22*0.85</f>
        <v>3.3126812721424682E-2</v>
      </c>
      <c r="BB22" s="6"/>
      <c r="BC22" s="25"/>
      <c r="BD22" s="25"/>
      <c r="BE22" s="320"/>
      <c r="BF22" s="40">
        <v>0.85</v>
      </c>
      <c r="BG22" s="317"/>
      <c r="BH22" s="40">
        <v>1</v>
      </c>
      <c r="BI22" s="317"/>
      <c r="BJ22" s="40">
        <f>+CC22/BZ22</f>
        <v>0.34603051586340516</v>
      </c>
      <c r="BK22" s="321"/>
      <c r="BL22" s="321"/>
      <c r="BM22" s="40">
        <f>+(CC22-CA22)/BZ22</f>
        <v>0.29233228384596754</v>
      </c>
      <c r="BN22" s="317"/>
      <c r="BO22" s="40">
        <f>+CC22/DN22</f>
        <v>0.4061458574679262</v>
      </c>
      <c r="BP22" s="317"/>
      <c r="BQ22" s="40">
        <f>+(CC22-CA22)/DN22</f>
        <v>0.34311871538822869</v>
      </c>
      <c r="BR22" s="317"/>
      <c r="BS22" s="40">
        <v>7.0000000000000007E-2</v>
      </c>
      <c r="BT22" s="317"/>
      <c r="BU22" s="390">
        <f>+BZ22</f>
        <v>2064.5</v>
      </c>
      <c r="BV22" s="317"/>
      <c r="BW22" s="40">
        <v>0.11</v>
      </c>
      <c r="BY22" s="48" t="s">
        <v>22</v>
      </c>
      <c r="BZ22" s="88">
        <v>2064.5</v>
      </c>
      <c r="CA22" s="88">
        <v>110.86</v>
      </c>
      <c r="CB22" s="88">
        <v>6.22</v>
      </c>
      <c r="CC22" s="88">
        <f>0.79+713.59</f>
        <v>714.38</v>
      </c>
      <c r="CD22" s="313">
        <f>0.088*4</f>
        <v>0.35199999999999998</v>
      </c>
      <c r="CE22" s="313"/>
      <c r="CF22" s="313"/>
      <c r="CG22" s="313"/>
      <c r="CH22" s="39"/>
      <c r="CI22" s="98">
        <v>1060.48</v>
      </c>
      <c r="CJ22" s="33">
        <v>797.73586399999999</v>
      </c>
      <c r="CK22" s="33">
        <v>974.78698399999996</v>
      </c>
      <c r="CL22" s="33">
        <v>959.38489900000013</v>
      </c>
      <c r="CM22" s="33">
        <v>1022.332124</v>
      </c>
      <c r="CN22" s="33">
        <v>1053.703575</v>
      </c>
      <c r="CO22" s="33">
        <v>1084.3743445772204</v>
      </c>
      <c r="CP22" s="33">
        <v>1096.7503712641294</v>
      </c>
      <c r="CQ22" s="39"/>
      <c r="CR22" s="98">
        <v>598.11</v>
      </c>
      <c r="CS22" s="33">
        <v>507.45201200000002</v>
      </c>
      <c r="CT22" s="33">
        <v>622.21</v>
      </c>
      <c r="CU22" s="33">
        <v>630.26</v>
      </c>
      <c r="CV22" s="33">
        <v>609.85051599999997</v>
      </c>
      <c r="CW22" s="33">
        <v>599.86</v>
      </c>
      <c r="CX22" s="33">
        <v>579.63597699999991</v>
      </c>
      <c r="CY22" s="33">
        <v>581.26097699999991</v>
      </c>
      <c r="CZ22" s="39"/>
      <c r="DA22" s="33">
        <v>0</v>
      </c>
      <c r="DB22" s="33">
        <v>198.98945899999998</v>
      </c>
      <c r="DC22" s="33">
        <v>413.59371499999997</v>
      </c>
      <c r="DD22" s="33">
        <v>632.843703</v>
      </c>
      <c r="DE22" s="33">
        <v>788.2636</v>
      </c>
      <c r="DF22" s="33">
        <v>777.50804986328262</v>
      </c>
      <c r="DG22" s="33">
        <v>838.65331342894308</v>
      </c>
      <c r="DH22" s="39"/>
      <c r="DI22" s="33">
        <f t="shared" ref="DI22:DO22" si="146">+(($G22*CS22)/$A22)+DA22</f>
        <v>859.19766516210018</v>
      </c>
      <c r="DJ22" s="33">
        <f t="shared" si="146"/>
        <v>1252.4908080901484</v>
      </c>
      <c r="DK22" s="33">
        <f t="shared" si="146"/>
        <v>1480.7250055249949</v>
      </c>
      <c r="DL22" s="33">
        <f t="shared" si="146"/>
        <v>1665.418462887053</v>
      </c>
      <c r="DM22" s="33">
        <f t="shared" si="146"/>
        <v>1803.92281355365</v>
      </c>
      <c r="DN22" s="33">
        <f t="shared" si="146"/>
        <v>1758.9247480048848</v>
      </c>
      <c r="DO22" s="33">
        <f t="shared" si="146"/>
        <v>1822.8213972639151</v>
      </c>
      <c r="DP22" s="39"/>
      <c r="DQ22" s="33">
        <v>66.571624</v>
      </c>
      <c r="DR22" s="33">
        <v>77.082896000000005</v>
      </c>
      <c r="DS22" s="33">
        <v>87.245213000000007</v>
      </c>
      <c r="DT22" s="33">
        <v>105.341222</v>
      </c>
      <c r="DU22" s="33">
        <v>127.82064799999998</v>
      </c>
      <c r="DV22" s="33">
        <v>140.10917804801801</v>
      </c>
      <c r="DW22" s="33">
        <v>149.42397068023601</v>
      </c>
      <c r="DX22"/>
      <c r="DY22" s="33">
        <v>57.429994000000001</v>
      </c>
      <c r="DZ22" s="33">
        <v>65.497158000000013</v>
      </c>
      <c r="EA22" s="33">
        <v>76.002648999999991</v>
      </c>
      <c r="EB22" s="33">
        <v>92.019627</v>
      </c>
      <c r="EC22" s="33">
        <v>112.84101199999999</v>
      </c>
      <c r="ED22" s="33">
        <v>123.81549878023928</v>
      </c>
      <c r="EE22" s="33">
        <v>131.18603891443149</v>
      </c>
      <c r="EG22" s="33">
        <v>32.441488</v>
      </c>
      <c r="EH22" s="33">
        <v>40.392318000000024</v>
      </c>
      <c r="EI22" s="33">
        <v>48.84961599999999</v>
      </c>
      <c r="EJ22" s="33">
        <v>56.798131000000012</v>
      </c>
      <c r="EK22" s="33">
        <v>55.65309400000001</v>
      </c>
      <c r="EL22" s="33">
        <v>53.329627637365412</v>
      </c>
      <c r="EM22" s="33">
        <v>67.703411221270017</v>
      </c>
      <c r="EO22" s="100" t="s">
        <v>108</v>
      </c>
      <c r="EP22" s="100" t="s">
        <v>108</v>
      </c>
      <c r="EQ22" s="100" t="s">
        <v>108</v>
      </c>
      <c r="ER22" s="100" t="s">
        <v>108</v>
      </c>
      <c r="ES22" s="100" t="s">
        <v>108</v>
      </c>
      <c r="ET22" s="100" t="s">
        <v>108</v>
      </c>
      <c r="EU22" s="100" t="s">
        <v>108</v>
      </c>
      <c r="EW22" s="33">
        <v>16.846564999999998</v>
      </c>
      <c r="EX22" s="33">
        <v>22.32114</v>
      </c>
      <c r="EY22" s="33">
        <v>28.825690000000002</v>
      </c>
      <c r="EZ22" s="33">
        <v>39.110027000000002</v>
      </c>
      <c r="FA22" s="33">
        <v>47.897981000000001</v>
      </c>
      <c r="FB22" s="33">
        <v>52.213999999999999</v>
      </c>
      <c r="FC22" s="33">
        <v>52.213999999999999</v>
      </c>
      <c r="FE22" s="52">
        <f t="shared" ref="FE22" si="147">+DY22/CS22</f>
        <v>0.11317325114872143</v>
      </c>
      <c r="FF22" s="52">
        <f t="shared" ref="FF22" si="148">+DZ22/CT22</f>
        <v>0.10526535735523378</v>
      </c>
      <c r="FG22" s="52">
        <f t="shared" ref="FG22" si="149">+EA22/CU22</f>
        <v>0.12058935836004188</v>
      </c>
      <c r="FH22" s="52">
        <f t="shared" ref="FH22" si="150">+EB22/CV22</f>
        <v>0.15088882371299003</v>
      </c>
      <c r="FI22" s="52">
        <f t="shared" ref="FI22" si="151">+EC22/CW22</f>
        <v>0.18811224619077782</v>
      </c>
      <c r="FJ22" s="52">
        <f t="shared" ref="FJ22" si="152">+ED22/CX22</f>
        <v>0.21360906447019817</v>
      </c>
      <c r="FK22" s="52">
        <f t="shared" ref="FK22" si="153">+EE22/CY22</f>
        <v>0.22569214880294899</v>
      </c>
      <c r="FM22" s="52">
        <f t="shared" ref="FM22" si="154">+EG22/CS22</f>
        <v>6.3930159370419445E-2</v>
      </c>
      <c r="FN22" s="52">
        <f t="shared" ref="FN22" si="155">+EH22/CT22</f>
        <v>6.4917500522331723E-2</v>
      </c>
      <c r="FO22" s="52">
        <f t="shared" ref="FO22" si="156">+EI22/CU22</f>
        <v>7.7507085964522562E-2</v>
      </c>
      <c r="FP22" s="52">
        <f t="shared" ref="FP22" si="157">+EJ22/CV22</f>
        <v>9.313451331079961E-2</v>
      </c>
      <c r="FQ22" s="52">
        <f t="shared" ref="FQ22" si="158">+EK22/CW22</f>
        <v>9.2776804587737155E-2</v>
      </c>
      <c r="FR22" s="52">
        <f>+EL22/CX22</f>
        <v>9.2005378812718905E-2</v>
      </c>
      <c r="FS22" s="52">
        <f t="shared" ref="FS22" si="159">+EM22/CY22</f>
        <v>0.11647678736443033</v>
      </c>
      <c r="FT22" s="361"/>
      <c r="FU22" s="361"/>
      <c r="FV22" s="52"/>
      <c r="FW22" s="52"/>
      <c r="FX22" s="52"/>
      <c r="FY22" s="52"/>
      <c r="FZ22" s="52"/>
      <c r="GA22" s="52"/>
      <c r="GB22" s="52"/>
      <c r="GC22" s="361"/>
      <c r="GD22" s="52">
        <f t="shared" ref="GD22:GF23" si="160">+EW22/CS22</f>
        <v>3.3198341127081782E-2</v>
      </c>
      <c r="GE22" s="52">
        <f t="shared" si="160"/>
        <v>3.5873965381462848E-2</v>
      </c>
      <c r="GF22" s="52">
        <f t="shared" si="160"/>
        <v>4.5736188239774066E-2</v>
      </c>
      <c r="GG22" s="52">
        <f t="shared" ref="GG22" si="161">+EZ22/CV22</f>
        <v>6.4130513911051609E-2</v>
      </c>
      <c r="GH22" s="52">
        <f t="shared" ref="GH22" si="162">+FA22/CW22</f>
        <v>7.9848599673257095E-2</v>
      </c>
      <c r="GI22" s="52">
        <f t="shared" ref="GI22" si="163">+FB22/CX22</f>
        <v>9.0080674892269508E-2</v>
      </c>
      <c r="GJ22" s="52">
        <f t="shared" ref="GJ22" si="164">+FC22/CY22</f>
        <v>8.9828841202253984E-2</v>
      </c>
      <c r="GL22" s="52">
        <f t="shared" ref="GL22" si="165">+CJ22/CS22</f>
        <v>1.5720419766509861</v>
      </c>
      <c r="GM22" s="52">
        <f t="shared" ref="GM22" si="166">+CK22/CT22</f>
        <v>1.5666527121068448</v>
      </c>
      <c r="GN22" s="52">
        <f t="shared" ref="GN22" si="167">+CL22/CU22</f>
        <v>1.5222049614444835</v>
      </c>
      <c r="GO22" s="52">
        <f t="shared" ref="GO22" si="168">+CM22/CV22</f>
        <v>1.676365104526697</v>
      </c>
      <c r="GP22" s="52">
        <f>+CN22/CW22</f>
        <v>1.7565824942486581</v>
      </c>
      <c r="GQ22" s="52">
        <f t="shared" ref="GQ22" si="169">+CO22/CX22</f>
        <v>1.870785092032375</v>
      </c>
      <c r="GR22" s="52">
        <f t="shared" ref="GR22" si="170">+CP22/CY22</f>
        <v>1.8868467257593478</v>
      </c>
    </row>
    <row r="23" spans="1:200" ht="11.45" customHeight="1">
      <c r="A23" s="37">
        <f>+A15</f>
        <v>19.123999999999999</v>
      </c>
      <c r="B23" s="64">
        <f>+B15</f>
        <v>3.1419999999999997E-2</v>
      </c>
      <c r="D23" s="19"/>
      <c r="E23" s="27" t="s">
        <v>28</v>
      </c>
      <c r="F23" s="27" t="s">
        <v>11</v>
      </c>
      <c r="G23" s="28">
        <f>+Bloomberg!F48</f>
        <v>17</v>
      </c>
      <c r="H23" s="29">
        <f>+(G23*CR23)/A23</f>
        <v>330.23948964651748</v>
      </c>
      <c r="I23" s="29"/>
      <c r="J23" s="30">
        <f t="shared" ref="J23:P23" si="171">+FM23/$G23</f>
        <v>0.11516772335786861</v>
      </c>
      <c r="K23" s="30">
        <f t="shared" si="171"/>
        <v>0.10116939708589984</v>
      </c>
      <c r="L23" s="30">
        <f t="shared" si="171"/>
        <v>0.11997306191187006</v>
      </c>
      <c r="M23" s="30">
        <f t="shared" si="171"/>
        <v>0.12597171500746354</v>
      </c>
      <c r="N23" s="30">
        <f t="shared" si="171"/>
        <v>0.13227030075783675</v>
      </c>
      <c r="O23" s="30">
        <f t="shared" si="171"/>
        <v>0.13888381579572859</v>
      </c>
      <c r="P23" s="30">
        <f t="shared" si="171"/>
        <v>0.13888381579572859</v>
      </c>
      <c r="Q23" s="31"/>
      <c r="R23" s="30" t="s">
        <v>9</v>
      </c>
      <c r="S23" s="30" t="s">
        <v>9</v>
      </c>
      <c r="T23" s="30" t="s">
        <v>9</v>
      </c>
      <c r="U23" s="30" t="s">
        <v>9</v>
      </c>
      <c r="V23" s="30" t="s">
        <v>9</v>
      </c>
      <c r="W23" s="30" t="s">
        <v>9</v>
      </c>
      <c r="X23" s="30" t="s">
        <v>9</v>
      </c>
      <c r="Y23" s="30" t="s">
        <v>9</v>
      </c>
      <c r="Z23" s="31"/>
      <c r="AA23" s="57">
        <f t="shared" ref="AA23:AG25" si="172">+$G23/GL23</f>
        <v>0.73347499621293766</v>
      </c>
      <c r="AB23" s="57">
        <f t="shared" si="172"/>
        <v>0.92639923800428148</v>
      </c>
      <c r="AC23" s="57">
        <f t="shared" si="172"/>
        <v>0.90009090497565092</v>
      </c>
      <c r="AD23" s="57">
        <f t="shared" si="172"/>
        <v>0.87166340509953599</v>
      </c>
      <c r="AE23" s="57">
        <f t="shared" si="172"/>
        <v>0.84398508373113135</v>
      </c>
      <c r="AF23" s="57">
        <f t="shared" si="172"/>
        <v>0.80513580110769223</v>
      </c>
      <c r="AG23" s="57">
        <f t="shared" si="172"/>
        <v>0.80513580110769223</v>
      </c>
      <c r="AH23" s="31"/>
      <c r="AI23" s="30">
        <f>+DY23/DI23</f>
        <v>0.12290296012341183</v>
      </c>
      <c r="AJ23" s="31"/>
      <c r="AK23" s="30">
        <f t="shared" si="141"/>
        <v>9.3637026617812244E-2</v>
      </c>
      <c r="AL23" s="30">
        <f t="shared" si="141"/>
        <v>9.3034428303262057E-2</v>
      </c>
      <c r="AM23" s="30">
        <f t="shared" si="141"/>
        <v>0.10408559107969879</v>
      </c>
      <c r="AN23" s="30">
        <f t="shared" si="141"/>
        <v>0.1154813145756298</v>
      </c>
      <c r="AO23" s="30">
        <f t="shared" si="141"/>
        <v>0.12856286882357404</v>
      </c>
      <c r="AP23" s="30">
        <f t="shared" si="142"/>
        <v>0.12856286882357404</v>
      </c>
      <c r="AQ23" s="31"/>
      <c r="AR23" s="30" t="s">
        <v>9</v>
      </c>
      <c r="AS23" s="30" t="s">
        <v>9</v>
      </c>
      <c r="AT23" s="30" t="s">
        <v>9</v>
      </c>
      <c r="AU23" s="30" t="s">
        <v>9</v>
      </c>
      <c r="AV23" s="30" t="s">
        <v>9</v>
      </c>
      <c r="AW23" s="30" t="s">
        <v>9</v>
      </c>
      <c r="AX23" s="30" t="s">
        <v>9</v>
      </c>
      <c r="AY23" s="31"/>
      <c r="AZ23" s="30">
        <f t="shared" si="145"/>
        <v>9.7142868823574036E-2</v>
      </c>
      <c r="BA23" s="30">
        <f>+AZ23*0.85</f>
        <v>8.2571438500037925E-2</v>
      </c>
      <c r="BB23" s="19"/>
      <c r="BC23" s="25"/>
      <c r="BD23" s="18"/>
      <c r="BE23" s="320"/>
      <c r="BF23" s="41">
        <v>0</v>
      </c>
      <c r="BG23" s="317"/>
      <c r="BH23" s="41">
        <v>0</v>
      </c>
      <c r="BI23" s="317"/>
      <c r="BJ23" s="41">
        <f>+CC23/BZ23</f>
        <v>0.34039158248873541</v>
      </c>
      <c r="BK23" s="321"/>
      <c r="BL23" s="321"/>
      <c r="BM23" s="41">
        <f>+(CC23-CA23)/BZ23</f>
        <v>0.26491544056651634</v>
      </c>
      <c r="BN23" s="317"/>
      <c r="BO23" s="41">
        <f>+CC23/DN23</f>
        <v>0.56007227400677062</v>
      </c>
      <c r="BP23" s="317"/>
      <c r="BQ23" s="41">
        <f>+(CC23-CA23)/DN23</f>
        <v>0.43588561189671715</v>
      </c>
      <c r="BR23" s="317"/>
      <c r="BS23" s="41">
        <f>+(CA23+CB23)/BZ23</f>
        <v>0.10411509094795622</v>
      </c>
      <c r="BT23" s="317"/>
      <c r="BU23" s="391">
        <f>+BZ23</f>
        <v>15255.483</v>
      </c>
      <c r="BV23" s="317"/>
      <c r="BW23" s="41">
        <f>+CA23/(H23*A23)</f>
        <v>0.18231731454358324</v>
      </c>
      <c r="BY23" s="48" t="s">
        <v>21</v>
      </c>
      <c r="BZ23" s="88">
        <v>15255.483</v>
      </c>
      <c r="CA23" s="88">
        <v>1151.425</v>
      </c>
      <c r="CB23" s="88">
        <v>436.90100000000001</v>
      </c>
      <c r="CC23" s="88">
        <f>193.519+4999.319</f>
        <v>5192.8380000000006</v>
      </c>
      <c r="CD23" s="313">
        <v>0</v>
      </c>
      <c r="CE23" s="88"/>
      <c r="CF23" s="88"/>
      <c r="CG23" s="344"/>
      <c r="CH23" s="39"/>
      <c r="CI23" s="99">
        <v>7575.2139999999999</v>
      </c>
      <c r="CJ23" s="34">
        <v>6959</v>
      </c>
      <c r="CK23" s="34">
        <v>7061.4570000000003</v>
      </c>
      <c r="CL23" s="34">
        <v>7267.8530000000001</v>
      </c>
      <c r="CM23" s="34">
        <v>7504.8789999999999</v>
      </c>
      <c r="CN23" s="99">
        <v>7751</v>
      </c>
      <c r="CO23" s="99">
        <v>8125</v>
      </c>
      <c r="CP23" s="99">
        <v>8125</v>
      </c>
      <c r="CQ23" s="39"/>
      <c r="CR23" s="99">
        <v>371.5</v>
      </c>
      <c r="CS23" s="34">
        <v>300.25014697916669</v>
      </c>
      <c r="CT23" s="34">
        <v>384.80755199999999</v>
      </c>
      <c r="CU23" s="34">
        <v>384.80755199999999</v>
      </c>
      <c r="CV23" s="34">
        <f t="shared" ref="CV23:CW25" si="173">+CU23</f>
        <v>384.80755199999999</v>
      </c>
      <c r="CW23" s="34">
        <f t="shared" si="173"/>
        <v>384.80755199999999</v>
      </c>
      <c r="CX23" s="34">
        <f t="shared" ref="CX23:CY25" si="174">+CV23</f>
        <v>384.80755199999999</v>
      </c>
      <c r="CY23" s="34">
        <f t="shared" si="174"/>
        <v>384.80755199999999</v>
      </c>
      <c r="CZ23" s="39"/>
      <c r="DA23" s="34">
        <f>129.528+1773.186+102.094-3184.474-204.432</f>
        <v>-1384.0980000000002</v>
      </c>
      <c r="DB23" s="34">
        <f>173+1986.51+112.581-2426.565-272.387</f>
        <v>-426.86099999999971</v>
      </c>
      <c r="DC23" s="34">
        <f>181.551+2403.038+114.629-1854.626-256.132</f>
        <v>588.45999999999981</v>
      </c>
      <c r="DD23" s="34">
        <f>2599.451+388.112+22.668+52.057+129.07-1190.624-289.639</f>
        <v>1711.0950000000003</v>
      </c>
      <c r="DE23" s="34">
        <v>2135</v>
      </c>
      <c r="DF23" s="34">
        <v>2730</v>
      </c>
      <c r="DG23" s="34">
        <v>2730</v>
      </c>
      <c r="DH23" s="39"/>
      <c r="DI23" s="34">
        <f>+(CS23*G23)+DA23</f>
        <v>3720.1544986458339</v>
      </c>
      <c r="DJ23" s="34">
        <f>+(CT23*G23)+DB23</f>
        <v>6114.8673840000001</v>
      </c>
      <c r="DK23" s="34">
        <f>+(CU23*G23)+DC23</f>
        <v>7130.188384</v>
      </c>
      <c r="DL23" s="34">
        <f>+(CV23*G23)+DD23</f>
        <v>8252.8233839999994</v>
      </c>
      <c r="DM23" s="324">
        <f t="shared" ref="DM23:DO25" si="175">+(CW23*$G23)+DE23</f>
        <v>8676.728384</v>
      </c>
      <c r="DN23" s="324">
        <f t="shared" si="175"/>
        <v>9271.728384</v>
      </c>
      <c r="DO23" s="324">
        <f t="shared" si="175"/>
        <v>9271.728384</v>
      </c>
      <c r="DP23" s="39"/>
      <c r="DQ23" s="34"/>
      <c r="DR23" s="34"/>
      <c r="DS23" s="34"/>
      <c r="DT23" s="99"/>
      <c r="DU23" s="99"/>
      <c r="DV23" s="99"/>
      <c r="DW23" s="99"/>
      <c r="DX23"/>
      <c r="DY23" s="34">
        <v>457.21800000000002</v>
      </c>
      <c r="DZ23" s="34">
        <v>572.57799999999997</v>
      </c>
      <c r="EA23" s="34">
        <v>663.35299999999995</v>
      </c>
      <c r="EB23" s="34">
        <v>859</v>
      </c>
      <c r="EC23" s="34">
        <v>1002</v>
      </c>
      <c r="ED23" s="34">
        <v>1192</v>
      </c>
      <c r="EE23" s="34">
        <v>1192</v>
      </c>
      <c r="EG23" s="34">
        <v>587.84513971275294</v>
      </c>
      <c r="EH23" s="34">
        <v>661.82271650899781</v>
      </c>
      <c r="EI23" s="34">
        <v>784.83118442426962</v>
      </c>
      <c r="EJ23" s="34">
        <v>824.07274364548311</v>
      </c>
      <c r="EK23" s="34">
        <v>865.27638082775729</v>
      </c>
      <c r="EL23" s="34">
        <v>908.54019986914523</v>
      </c>
      <c r="EM23" s="34">
        <v>908.54019986914523</v>
      </c>
      <c r="EO23" s="101"/>
      <c r="EP23" s="101"/>
      <c r="EQ23" s="101"/>
      <c r="ER23" s="101"/>
      <c r="ES23" s="101"/>
      <c r="ET23" s="101"/>
      <c r="EU23" s="101"/>
      <c r="EW23" s="34"/>
      <c r="EX23" s="34"/>
      <c r="EY23" s="34"/>
      <c r="EZ23" s="34"/>
      <c r="FA23" s="34"/>
      <c r="FB23" s="34"/>
      <c r="FC23" s="34"/>
      <c r="FE23" s="54">
        <f t="shared" ref="FE23:FK25" si="176">+DY23/CS23</f>
        <v>1.5227902620534763</v>
      </c>
      <c r="FF23" s="54">
        <f t="shared" si="176"/>
        <v>1.4879593631260126</v>
      </c>
      <c r="FG23" s="54">
        <f t="shared" si="176"/>
        <v>1.723856500612545</v>
      </c>
      <c r="FH23" s="54">
        <f t="shared" si="176"/>
        <v>2.2322846720014478</v>
      </c>
      <c r="FI23" s="54">
        <f t="shared" si="176"/>
        <v>2.6038990004021545</v>
      </c>
      <c r="FJ23" s="54">
        <f t="shared" si="176"/>
        <v>3.0976523038716248</v>
      </c>
      <c r="FK23" s="54">
        <f t="shared" si="176"/>
        <v>3.0976523038716248</v>
      </c>
      <c r="FL23" s="55"/>
      <c r="FM23" s="54">
        <f t="shared" ref="FM23:FS23" si="177">+EG23/CS23</f>
        <v>1.9578512970837663</v>
      </c>
      <c r="FN23" s="54">
        <f t="shared" si="177"/>
        <v>1.7198797504602972</v>
      </c>
      <c r="FO23" s="54">
        <f t="shared" si="177"/>
        <v>2.0395420525017909</v>
      </c>
      <c r="FP23" s="54">
        <f t="shared" si="177"/>
        <v>2.1415191551268804</v>
      </c>
      <c r="FQ23" s="54">
        <f t="shared" si="177"/>
        <v>2.2485951128832244</v>
      </c>
      <c r="FR23" s="54">
        <f t="shared" si="177"/>
        <v>2.361024868527386</v>
      </c>
      <c r="FS23" s="54">
        <f t="shared" si="177"/>
        <v>2.361024868527386</v>
      </c>
      <c r="FT23" s="363"/>
      <c r="FU23" s="363"/>
      <c r="FV23" s="54"/>
      <c r="FW23" s="54"/>
      <c r="FX23" s="54"/>
      <c r="FY23" s="54"/>
      <c r="FZ23" s="54"/>
      <c r="GA23" s="54"/>
      <c r="GB23" s="54"/>
      <c r="GC23" s="363"/>
      <c r="GD23" s="54">
        <f t="shared" si="160"/>
        <v>0</v>
      </c>
      <c r="GE23" s="54">
        <f t="shared" si="160"/>
        <v>0</v>
      </c>
      <c r="GF23" s="54">
        <f t="shared" si="160"/>
        <v>0</v>
      </c>
      <c r="GG23" s="54">
        <f>+EZ23/CV23</f>
        <v>0</v>
      </c>
      <c r="GH23" s="54"/>
      <c r="GI23" s="54"/>
      <c r="GJ23" s="54"/>
      <c r="GK23" s="55"/>
      <c r="GL23" s="54">
        <f t="shared" ref="GL23:GR25" si="178">+CJ23/CS23</f>
        <v>23.177340860661964</v>
      </c>
      <c r="GM23" s="54">
        <f t="shared" si="178"/>
        <v>18.350619584513769</v>
      </c>
      <c r="GN23" s="54">
        <f t="shared" si="178"/>
        <v>18.886981199371057</v>
      </c>
      <c r="GO23" s="54">
        <f t="shared" si="178"/>
        <v>19.502941044150816</v>
      </c>
      <c r="GP23" s="54">
        <f t="shared" si="178"/>
        <v>20.142536079957186</v>
      </c>
      <c r="GQ23" s="54">
        <f t="shared" si="178"/>
        <v>21.114450477312879</v>
      </c>
      <c r="GR23" s="54">
        <f t="shared" si="178"/>
        <v>21.114450477312879</v>
      </c>
    </row>
    <row r="24" spans="1:200" ht="11.45" customHeight="1">
      <c r="A24" s="37">
        <f>+A23</f>
        <v>19.123999999999999</v>
      </c>
      <c r="B24" s="64">
        <f>+B23</f>
        <v>3.1419999999999997E-2</v>
      </c>
      <c r="D24" s="6"/>
      <c r="E24" s="20" t="s">
        <v>100</v>
      </c>
      <c r="F24" s="20" t="s">
        <v>11</v>
      </c>
      <c r="G24" s="21">
        <f>+Bloomberg!F49</f>
        <v>5.07</v>
      </c>
      <c r="H24" s="22">
        <f>+(G24*CR24)/A24</f>
        <v>406.46744614097474</v>
      </c>
      <c r="I24" s="22"/>
      <c r="J24" s="23"/>
      <c r="K24" s="23">
        <f t="shared" ref="K24:P24" si="179">+FN24/$G24</f>
        <v>0.38045949741214641</v>
      </c>
      <c r="L24" s="23">
        <f t="shared" si="179"/>
        <v>-4.4350961105204316</v>
      </c>
      <c r="M24" s="23">
        <f t="shared" si="179"/>
        <v>4.2668354849960344E-2</v>
      </c>
      <c r="N24" s="23">
        <f>+FQ24/$G24</f>
        <v>0.19162662937080405</v>
      </c>
      <c r="O24" s="23">
        <f t="shared" si="179"/>
        <v>0.17938487518170831</v>
      </c>
      <c r="P24" s="23">
        <f t="shared" si="179"/>
        <v>0.14263802445869339</v>
      </c>
      <c r="Q24" s="24"/>
      <c r="R24" s="23" t="s">
        <v>9</v>
      </c>
      <c r="S24" s="23" t="s">
        <v>9</v>
      </c>
      <c r="T24" s="23" t="s">
        <v>9</v>
      </c>
      <c r="U24" s="23" t="s">
        <v>9</v>
      </c>
      <c r="V24" s="23" t="s">
        <v>9</v>
      </c>
      <c r="W24" s="23" t="s">
        <v>9</v>
      </c>
      <c r="X24" s="23" t="s">
        <v>9</v>
      </c>
      <c r="Y24" s="23" t="s">
        <v>9</v>
      </c>
      <c r="Z24" s="24"/>
      <c r="AA24" s="56">
        <f t="shared" si="172"/>
        <v>1.4829921702090394</v>
      </c>
      <c r="AB24" s="56">
        <f t="shared" si="172"/>
        <v>0.43021680637073861</v>
      </c>
      <c r="AC24" s="56">
        <f t="shared" si="172"/>
        <v>0.41908932537573179</v>
      </c>
      <c r="AD24" s="56">
        <f t="shared" si="172"/>
        <v>0.40559816759258305</v>
      </c>
      <c r="AE24" s="56">
        <f t="shared" si="172"/>
        <v>0.37890046787326181</v>
      </c>
      <c r="AF24" s="56">
        <f t="shared" si="172"/>
        <v>0.35209874463715624</v>
      </c>
      <c r="AG24" s="56">
        <f t="shared" si="172"/>
        <v>0.35209874463715624</v>
      </c>
      <c r="AH24" s="24"/>
      <c r="AI24" s="23">
        <f>+DY24/DI24</f>
        <v>0</v>
      </c>
      <c r="AJ24" s="24"/>
      <c r="AK24" s="23">
        <f t="shared" si="141"/>
        <v>0</v>
      </c>
      <c r="AL24" s="23">
        <f t="shared" si="141"/>
        <v>0.10129889999378884</v>
      </c>
      <c r="AM24" s="23">
        <f t="shared" si="141"/>
        <v>8.5907795588615193E-2</v>
      </c>
      <c r="AN24" s="23">
        <f>+EC24/DM24</f>
        <v>0.13442928078281557</v>
      </c>
      <c r="AO24" s="23">
        <f t="shared" si="141"/>
        <v>0.14446161005445843</v>
      </c>
      <c r="AP24" s="23">
        <f t="shared" si="142"/>
        <v>0.15168469055718137</v>
      </c>
      <c r="AQ24" s="24"/>
      <c r="AR24" s="23">
        <f t="shared" ref="AR24:AW24" si="180">+DQ24/DI24</f>
        <v>9.46130815137603E-2</v>
      </c>
      <c r="AS24" s="23">
        <f t="shared" si="180"/>
        <v>0.12036105382251451</v>
      </c>
      <c r="AT24" s="23">
        <f t="shared" si="180"/>
        <v>0.10115667619597377</v>
      </c>
      <c r="AU24" s="23">
        <f t="shared" si="180"/>
        <v>8.4285282550659243E-2</v>
      </c>
      <c r="AV24" s="23">
        <f t="shared" si="180"/>
        <v>9.8509991401165953E-2</v>
      </c>
      <c r="AW24" s="23">
        <f t="shared" si="180"/>
        <v>0.10586169829514151</v>
      </c>
      <c r="AX24" s="23">
        <f t="shared" ref="AX24:AX25" si="181">+DW24/DO24</f>
        <v>0.11115478320989861</v>
      </c>
      <c r="AY24" s="24"/>
      <c r="AZ24" s="23">
        <f t="shared" si="145"/>
        <v>0.11304161005445842</v>
      </c>
      <c r="BA24" s="23">
        <f>+AZ24*0.85</f>
        <v>9.6085368546289657E-2</v>
      </c>
      <c r="BB24" s="6"/>
      <c r="BC24" s="25"/>
      <c r="BD24" s="25"/>
      <c r="BE24" s="320"/>
      <c r="BF24" s="40">
        <v>0.3891</v>
      </c>
      <c r="BG24" s="317"/>
      <c r="BH24" s="40">
        <v>0.35</v>
      </c>
      <c r="BI24" s="317"/>
      <c r="BJ24" s="40">
        <f>+CC24/BZ24</f>
        <v>0.37215968826479356</v>
      </c>
      <c r="BK24" s="321"/>
      <c r="BL24" s="321"/>
      <c r="BM24" s="40">
        <f>+(CC24-CA24)/BZ24</f>
        <v>0.35350613941659109</v>
      </c>
      <c r="BN24" s="317"/>
      <c r="BO24" s="40">
        <f>+CC24/DN24</f>
        <v>0.83595793918554551</v>
      </c>
      <c r="BP24" s="317"/>
      <c r="BQ24" s="40">
        <f>+(CC24-CA24)/DN24</f>
        <v>0.79405769381951519</v>
      </c>
      <c r="BR24" s="317"/>
      <c r="BS24" s="40">
        <f>+(CA24+CB24)/BZ24</f>
        <v>3.933102850924048E-2</v>
      </c>
      <c r="BT24" s="317"/>
      <c r="BU24" s="390">
        <f>+BZ24</f>
        <v>65501.745000000003</v>
      </c>
      <c r="BV24" s="317"/>
      <c r="BW24" s="40">
        <f>+CA24/(H24*A24)</f>
        <v>0.15718454234057877</v>
      </c>
      <c r="BY24" s="48" t="s">
        <v>21</v>
      </c>
      <c r="BZ24" s="88">
        <v>65501.745000000003</v>
      </c>
      <c r="CA24" s="88">
        <v>1221.8399999999999</v>
      </c>
      <c r="CB24" s="88">
        <v>1354.4110000000001</v>
      </c>
      <c r="CC24" s="88">
        <f>1048.672+71.378+15104.573+8152.486</f>
        <v>24377.109</v>
      </c>
      <c r="CD24" s="313">
        <v>0</v>
      </c>
      <c r="CE24" s="313"/>
      <c r="CF24" s="313"/>
      <c r="CG24" s="313"/>
      <c r="CH24" s="389"/>
      <c r="CI24" s="98">
        <v>25063.991999999998</v>
      </c>
      <c r="CJ24" s="33">
        <v>5310</v>
      </c>
      <c r="CK24" s="33">
        <v>18304</v>
      </c>
      <c r="CL24" s="33">
        <v>18790</v>
      </c>
      <c r="CM24" s="33">
        <f>26887.2-7472.2</f>
        <v>19415</v>
      </c>
      <c r="CN24" s="98">
        <v>20783</v>
      </c>
      <c r="CO24" s="98">
        <v>22365</v>
      </c>
      <c r="CP24" s="98">
        <v>22365</v>
      </c>
      <c r="CQ24" s="39"/>
      <c r="CR24" s="98">
        <v>1533.192</v>
      </c>
      <c r="CS24" s="33">
        <v>1553.1929829999999</v>
      </c>
      <c r="CT24" s="33">
        <v>1553.1929829999999</v>
      </c>
      <c r="CU24" s="33">
        <v>1553.1929829999999</v>
      </c>
      <c r="CV24" s="33">
        <f t="shared" si="173"/>
        <v>1553.1929829999999</v>
      </c>
      <c r="CW24" s="33">
        <f t="shared" si="173"/>
        <v>1553.1929829999999</v>
      </c>
      <c r="CX24" s="33">
        <f t="shared" si="174"/>
        <v>1553.1929829999999</v>
      </c>
      <c r="CY24" s="33">
        <f t="shared" si="174"/>
        <v>1553.1929829999999</v>
      </c>
      <c r="CZ24" s="39"/>
      <c r="DA24" s="33">
        <f>8883+4809+110+399-458-477-541</f>
        <v>12725</v>
      </c>
      <c r="DB24" s="33">
        <v>12946</v>
      </c>
      <c r="DC24" s="33">
        <v>20250</v>
      </c>
      <c r="DD24" s="33">
        <f>23824.9+7472.2+182.7-4223.8</f>
        <v>27256.000000000004</v>
      </c>
      <c r="DE24" s="33">
        <v>21970</v>
      </c>
      <c r="DF24" s="33">
        <v>21286</v>
      </c>
      <c r="DG24" s="33">
        <v>21286</v>
      </c>
      <c r="DH24" s="39"/>
      <c r="DI24" s="33">
        <f>+(CS24*G24)+DA24</f>
        <v>20599.688423809999</v>
      </c>
      <c r="DJ24" s="33">
        <f>+(CT24*G24)+DB24</f>
        <v>20820.688423809999</v>
      </c>
      <c r="DK24" s="33">
        <f>+(CU24*G24)+DC24</f>
        <v>28124.688423809999</v>
      </c>
      <c r="DL24" s="33">
        <f>+(CV24*G24)+DD24</f>
        <v>35130.688423810003</v>
      </c>
      <c r="DM24" s="325">
        <f t="shared" si="175"/>
        <v>29844.688423809999</v>
      </c>
      <c r="DN24" s="325">
        <f t="shared" si="175"/>
        <v>29160.688423809999</v>
      </c>
      <c r="DO24" s="325">
        <f t="shared" si="175"/>
        <v>29160.688423809999</v>
      </c>
      <c r="DP24" s="39"/>
      <c r="DQ24" s="33">
        <v>1949</v>
      </c>
      <c r="DR24" s="33">
        <v>2506</v>
      </c>
      <c r="DS24" s="33">
        <v>2845</v>
      </c>
      <c r="DT24" s="33">
        <v>2961</v>
      </c>
      <c r="DU24" s="33">
        <v>2940</v>
      </c>
      <c r="DV24" s="33">
        <f>+DU24*1.05</f>
        <v>3087</v>
      </c>
      <c r="DW24" s="33">
        <f>+DV24*1.05</f>
        <v>3241.3500000000004</v>
      </c>
      <c r="DX24"/>
      <c r="DY24" s="33"/>
      <c r="DZ24" s="33"/>
      <c r="EA24" s="33">
        <v>2849</v>
      </c>
      <c r="EB24" s="33">
        <v>3018</v>
      </c>
      <c r="EC24" s="33">
        <v>4012</v>
      </c>
      <c r="ED24" s="33">
        <f>+EC24*1.05</f>
        <v>4212.6000000000004</v>
      </c>
      <c r="EE24" s="33">
        <f>+ED24*1.05</f>
        <v>4423.2300000000005</v>
      </c>
      <c r="EG24" s="33">
        <v>0</v>
      </c>
      <c r="EH24" s="33">
        <v>2996</v>
      </c>
      <c r="EI24" s="33">
        <f>+EA24-37774</f>
        <v>-34925</v>
      </c>
      <c r="EJ24" s="33">
        <f>+EB24-2682</f>
        <v>336</v>
      </c>
      <c r="EK24" s="33">
        <f>+EC24-2503</f>
        <v>1509</v>
      </c>
      <c r="EL24" s="33">
        <f>+ED24-2800</f>
        <v>1412.6000000000004</v>
      </c>
      <c r="EM24" s="33">
        <f>+EE24-3300</f>
        <v>1123.2300000000005</v>
      </c>
      <c r="EO24" s="100" t="s">
        <v>108</v>
      </c>
      <c r="EP24" s="100" t="s">
        <v>108</v>
      </c>
      <c r="EQ24" s="100" t="s">
        <v>108</v>
      </c>
      <c r="ER24" s="100" t="s">
        <v>108</v>
      </c>
      <c r="ES24" s="100" t="s">
        <v>108</v>
      </c>
      <c r="ET24" s="100" t="s">
        <v>108</v>
      </c>
      <c r="EU24" s="100" t="s">
        <v>108</v>
      </c>
      <c r="EW24" s="33"/>
      <c r="EX24" s="33"/>
      <c r="EY24" s="33"/>
      <c r="EZ24" s="33"/>
      <c r="FA24" s="33"/>
      <c r="FB24" s="33"/>
      <c r="FC24" s="33"/>
      <c r="FE24" s="52">
        <f t="shared" si="176"/>
        <v>0</v>
      </c>
      <c r="FF24" s="52">
        <f t="shared" si="176"/>
        <v>0</v>
      </c>
      <c r="FG24" s="52">
        <f t="shared" si="176"/>
        <v>1.8342859072780142</v>
      </c>
      <c r="FH24" s="52">
        <f t="shared" si="176"/>
        <v>1.9430940218199533</v>
      </c>
      <c r="FI24" s="52">
        <f t="shared" si="176"/>
        <v>2.5830660091257958</v>
      </c>
      <c r="FJ24" s="52">
        <f t="shared" si="176"/>
        <v>2.7122193095820859</v>
      </c>
      <c r="FK24" s="52">
        <f t="shared" si="176"/>
        <v>2.8478302750611904</v>
      </c>
      <c r="FM24" s="52">
        <f t="shared" ref="FM24:FS25" si="182">+EG24/CS24</f>
        <v>0</v>
      </c>
      <c r="FN24" s="52">
        <f t="shared" si="182"/>
        <v>1.9289296518795824</v>
      </c>
      <c r="FO24" s="52">
        <f t="shared" si="182"/>
        <v>-22.48593728033859</v>
      </c>
      <c r="FP24" s="52">
        <f t="shared" si="182"/>
        <v>0.21632855908929896</v>
      </c>
      <c r="FQ24" s="52">
        <f t="shared" si="182"/>
        <v>0.97154701090997664</v>
      </c>
      <c r="FR24" s="52">
        <f t="shared" si="182"/>
        <v>0.90948131717126124</v>
      </c>
      <c r="FS24" s="52">
        <f t="shared" si="182"/>
        <v>0.72317478400557555</v>
      </c>
      <c r="FT24" s="361"/>
      <c r="FU24" s="361"/>
      <c r="FV24" s="52">
        <f>+EG24/CS24</f>
        <v>0</v>
      </c>
      <c r="FW24" s="52">
        <f>+EH24/CT24</f>
        <v>1.9289296518795824</v>
      </c>
      <c r="FX24" s="52">
        <f>+EI24/CU24</f>
        <v>-22.48593728033859</v>
      </c>
      <c r="FY24" s="52">
        <f>+EJ24/CV24</f>
        <v>0.21632855908929896</v>
      </c>
      <c r="FZ24" s="52">
        <v>0.56000000000000005</v>
      </c>
      <c r="GA24" s="52">
        <v>0.56000000000000005</v>
      </c>
      <c r="GB24" s="52">
        <v>0.49</v>
      </c>
      <c r="GC24" s="361"/>
      <c r="GD24" s="52"/>
      <c r="GE24" s="52"/>
      <c r="GF24" s="52"/>
      <c r="GG24" s="52"/>
      <c r="GH24" s="52"/>
      <c r="GI24" s="52"/>
      <c r="GJ24" s="52"/>
      <c r="GL24" s="52">
        <f t="shared" si="178"/>
        <v>3.4187638356076713</v>
      </c>
      <c r="GM24" s="52">
        <f t="shared" si="178"/>
        <v>11.784755790388477</v>
      </c>
      <c r="GN24" s="52">
        <f t="shared" si="178"/>
        <v>12.097659599071212</v>
      </c>
      <c r="GO24" s="52">
        <f t="shared" si="178"/>
        <v>12.500056472377201</v>
      </c>
      <c r="GP24" s="52">
        <f t="shared" si="178"/>
        <v>13.380822748669345</v>
      </c>
      <c r="GQ24" s="52">
        <f t="shared" si="178"/>
        <v>14.399369714381463</v>
      </c>
      <c r="GR24" s="52">
        <f t="shared" si="178"/>
        <v>14.399369714381463</v>
      </c>
    </row>
    <row r="25" spans="1:200" ht="11.45" customHeight="1">
      <c r="A25" s="37">
        <f>+A24</f>
        <v>19.123999999999999</v>
      </c>
      <c r="B25" s="64">
        <f>+B24</f>
        <v>3.1419999999999997E-2</v>
      </c>
      <c r="D25" s="19"/>
      <c r="E25" s="27" t="s">
        <v>333</v>
      </c>
      <c r="F25" s="27" t="s">
        <v>129</v>
      </c>
      <c r="G25" s="28">
        <f>+Bloomberg!F50</f>
        <v>19</v>
      </c>
      <c r="H25" s="29">
        <f>+(G25*CR25)/A25</f>
        <v>315.73938506588581</v>
      </c>
      <c r="I25" s="29"/>
      <c r="J25" s="30"/>
      <c r="K25" s="30"/>
      <c r="L25" s="30">
        <f>+FO25/$G25</f>
        <v>4.0253178164232489E-2</v>
      </c>
      <c r="M25" s="30">
        <f>+FP25/$G25</f>
        <v>6.005672455393158E-2</v>
      </c>
      <c r="N25" s="30">
        <f>+FQ25/$G25</f>
        <v>3.6448881358362821E-2</v>
      </c>
      <c r="O25" s="30">
        <f>+FR25/$G25</f>
        <v>5.0395442541122368E-2</v>
      </c>
      <c r="P25" s="30">
        <f>+FS25/$G25</f>
        <v>4.5403806943843654E-2</v>
      </c>
      <c r="Q25" s="31"/>
      <c r="R25" s="30" t="s">
        <v>9</v>
      </c>
      <c r="S25" s="30" t="s">
        <v>9</v>
      </c>
      <c r="T25" s="30" t="s">
        <v>9</v>
      </c>
      <c r="U25" s="30" t="s">
        <v>9</v>
      </c>
      <c r="V25" s="30" t="s">
        <v>9</v>
      </c>
      <c r="W25" s="30" t="s">
        <v>9</v>
      </c>
      <c r="X25" s="30" t="s">
        <v>9</v>
      </c>
      <c r="Y25" s="30" t="s">
        <v>9</v>
      </c>
      <c r="Z25" s="31"/>
      <c r="AA25" s="57" t="e">
        <f t="shared" si="172"/>
        <v>#DIV/0!</v>
      </c>
      <c r="AB25" s="57">
        <f t="shared" si="172"/>
        <v>2.0486050913512575</v>
      </c>
      <c r="AC25" s="57">
        <f t="shared" si="172"/>
        <v>1.2980058707131814</v>
      </c>
      <c r="AD25" s="57">
        <f t="shared" si="172"/>
        <v>1.2354757631337077</v>
      </c>
      <c r="AE25" s="57">
        <f t="shared" si="172"/>
        <v>1.1994935198108527</v>
      </c>
      <c r="AF25" s="57">
        <f t="shared" si="172"/>
        <v>1.1890389130519974</v>
      </c>
      <c r="AG25" s="57">
        <f t="shared" si="172"/>
        <v>1.1890389130519974</v>
      </c>
      <c r="AH25" s="31"/>
      <c r="AI25" s="30" t="e">
        <f>+DY25/DI25</f>
        <v>#DIV/0!</v>
      </c>
      <c r="AJ25" s="31"/>
      <c r="AK25" s="30">
        <f t="shared" si="141"/>
        <v>5.647030703928857E-2</v>
      </c>
      <c r="AL25" s="30">
        <f t="shared" si="141"/>
        <v>6.2129007948409677E-2</v>
      </c>
      <c r="AM25" s="30">
        <f t="shared" si="141"/>
        <v>7.0735911540478202E-2</v>
      </c>
      <c r="AN25" s="30">
        <f t="shared" si="141"/>
        <v>7.5376852272327113E-2</v>
      </c>
      <c r="AO25" s="30">
        <f t="shared" si="141"/>
        <v>8.1978843526658907E-2</v>
      </c>
      <c r="AP25" s="30">
        <f>+EE25/DO25</f>
        <v>8.7204125888109205E-2</v>
      </c>
      <c r="AQ25" s="31"/>
      <c r="AR25" s="30" t="s">
        <v>9</v>
      </c>
      <c r="AS25" s="30" t="s">
        <v>9</v>
      </c>
      <c r="AT25" s="30">
        <f>+DS25/DK25</f>
        <v>8.0608324257169559E-2</v>
      </c>
      <c r="AU25" s="30">
        <f>+DT25/DL25</f>
        <v>8.0456237814815507E-2</v>
      </c>
      <c r="AV25" s="30">
        <f>+DU25/DM25</f>
        <v>9.4600018520594298E-2</v>
      </c>
      <c r="AW25" s="30">
        <f>+DV25/DN25</f>
        <v>0.10179361765882926</v>
      </c>
      <c r="AX25" s="30">
        <f t="shared" si="181"/>
        <v>0.10672928899584851</v>
      </c>
      <c r="AY25" s="31"/>
      <c r="AZ25" s="30">
        <f t="shared" si="145"/>
        <v>5.055884352665891E-2</v>
      </c>
      <c r="BA25" s="30">
        <f>+AZ25*0.85</f>
        <v>4.297501699766007E-2</v>
      </c>
      <c r="BB25" s="19"/>
      <c r="BC25" s="25"/>
      <c r="BD25" s="18"/>
      <c r="BE25" s="320"/>
      <c r="BF25" s="383" t="s">
        <v>335</v>
      </c>
      <c r="BG25" s="317"/>
      <c r="BH25" s="383">
        <v>0</v>
      </c>
      <c r="BI25" s="317"/>
      <c r="BJ25" s="383">
        <f>+CC25/BZ25</f>
        <v>0.440502507669085</v>
      </c>
      <c r="BK25" s="321"/>
      <c r="BL25" s="321"/>
      <c r="BM25" s="383">
        <f>+(CC25-CA25)/BZ25</f>
        <v>0.41399727184257612</v>
      </c>
      <c r="BN25" s="317"/>
      <c r="BO25" s="383">
        <f>+CC25/DN25</f>
        <v>0.51257642856721042</v>
      </c>
      <c r="BP25" s="317"/>
      <c r="BQ25" s="383">
        <f>+(CC25-CA25)/DN25</f>
        <v>0.48173447220656768</v>
      </c>
      <c r="BR25" s="317"/>
      <c r="BS25" s="383">
        <f>+(CA25+CB25)/BZ25</f>
        <v>4.1951558403348951E-2</v>
      </c>
      <c r="BT25" s="317"/>
      <c r="BU25" s="392">
        <f>+BZ25</f>
        <v>14581.27</v>
      </c>
      <c r="BV25" s="317"/>
      <c r="BW25" s="383">
        <f>+CA25/(H25*A25)</f>
        <v>6.4005829551853202E-2</v>
      </c>
      <c r="BY25" s="48" t="s">
        <v>21</v>
      </c>
      <c r="BZ25" s="88">
        <v>14581.27</v>
      </c>
      <c r="CA25" s="88">
        <v>386.48</v>
      </c>
      <c r="CB25" s="88">
        <v>225.227</v>
      </c>
      <c r="CC25" s="88">
        <f>83.811+6339.275</f>
        <v>6423.0859999999993</v>
      </c>
      <c r="CD25" s="313">
        <v>0</v>
      </c>
      <c r="CE25" s="88"/>
      <c r="CF25" s="88"/>
      <c r="CG25" s="344"/>
      <c r="CH25" s="389"/>
      <c r="CI25" s="99">
        <v>5378.7849999999999</v>
      </c>
      <c r="CJ25" s="384"/>
      <c r="CK25" s="384">
        <v>2947.4690000000001</v>
      </c>
      <c r="CL25" s="384">
        <v>4651.9049999999988</v>
      </c>
      <c r="CM25" s="384">
        <v>4887.348</v>
      </c>
      <c r="CN25" s="384">
        <v>5033.9579999999996</v>
      </c>
      <c r="CO25" s="384">
        <v>5078.2189999999991</v>
      </c>
      <c r="CP25" s="384">
        <v>5078.2189999999991</v>
      </c>
      <c r="CQ25" s="39"/>
      <c r="CR25" s="384">
        <v>317.8</v>
      </c>
      <c r="CS25" s="384">
        <f>+CR25</f>
        <v>317.8</v>
      </c>
      <c r="CT25" s="384">
        <f>+CS25</f>
        <v>317.8</v>
      </c>
      <c r="CU25" s="384">
        <f>+CT25</f>
        <v>317.8</v>
      </c>
      <c r="CV25" s="384">
        <f t="shared" si="173"/>
        <v>317.8</v>
      </c>
      <c r="CW25" s="384">
        <f t="shared" si="173"/>
        <v>317.8</v>
      </c>
      <c r="CX25" s="384">
        <f t="shared" si="174"/>
        <v>317.8</v>
      </c>
      <c r="CY25" s="384">
        <f t="shared" si="174"/>
        <v>317.8</v>
      </c>
      <c r="CZ25" s="39"/>
      <c r="DA25" s="384"/>
      <c r="DB25" s="384">
        <v>4781.1319999999996</v>
      </c>
      <c r="DC25" s="384">
        <v>5304.6979999999994</v>
      </c>
      <c r="DD25" s="384">
        <v>6366.2079999999987</v>
      </c>
      <c r="DE25" s="384">
        <v>6492.7820000000002</v>
      </c>
      <c r="DF25" s="384">
        <v>6492.7820000000002</v>
      </c>
      <c r="DG25" s="384">
        <v>6395.3423181319667</v>
      </c>
      <c r="DH25" s="39"/>
      <c r="DI25" s="384"/>
      <c r="DJ25" s="384">
        <f>+(CT25*G25)+DB25</f>
        <v>10819.331999999999</v>
      </c>
      <c r="DK25" s="384">
        <f>+(CU25*G25)+DC25</f>
        <v>11342.897999999999</v>
      </c>
      <c r="DL25" s="384">
        <f>+(CV25*G25)+DD25</f>
        <v>12404.407999999999</v>
      </c>
      <c r="DM25" s="385">
        <f t="shared" si="175"/>
        <v>12530.982</v>
      </c>
      <c r="DN25" s="385">
        <f>+(CX25*$G25)+DF25</f>
        <v>12530.982</v>
      </c>
      <c r="DO25" s="385">
        <f t="shared" si="175"/>
        <v>12433.542318131967</v>
      </c>
      <c r="DP25" s="39"/>
      <c r="DQ25" s="384"/>
      <c r="DR25" s="384">
        <v>837.74400000000003</v>
      </c>
      <c r="DS25" s="384">
        <v>914.33199999999999</v>
      </c>
      <c r="DT25" s="384">
        <v>998.01199999999994</v>
      </c>
      <c r="DU25" s="384">
        <v>1185.4311292812338</v>
      </c>
      <c r="DV25" s="384">
        <v>1275.5739905976716</v>
      </c>
      <c r="DW25" s="384">
        <v>1327.0231313140189</v>
      </c>
      <c r="DX25" s="386"/>
      <c r="DY25" s="384"/>
      <c r="DZ25" s="384">
        <v>610.971</v>
      </c>
      <c r="EA25" s="384">
        <v>704.72300000000018</v>
      </c>
      <c r="EB25" s="384">
        <v>877.43710700000008</v>
      </c>
      <c r="EC25" s="384">
        <v>944.54597904119009</v>
      </c>
      <c r="ED25" s="384">
        <v>1027.2754126133793</v>
      </c>
      <c r="EE25" s="384">
        <v>1084.2561895455133</v>
      </c>
      <c r="EG25" s="384"/>
      <c r="EH25" s="384">
        <v>516.92455031964221</v>
      </c>
      <c r="EI25" s="384">
        <v>243.05674039126865</v>
      </c>
      <c r="EJ25" s="384">
        <v>362.63451420154968</v>
      </c>
      <c r="EK25" s="384">
        <v>220.08563541806637</v>
      </c>
      <c r="EL25" s="384">
        <v>304.2977611518051</v>
      </c>
      <c r="EM25" s="384">
        <v>274.15726708831676</v>
      </c>
      <c r="EO25" s="387"/>
      <c r="EP25" s="387">
        <v>487.44955031964219</v>
      </c>
      <c r="EQ25" s="387">
        <v>191.43774039126865</v>
      </c>
      <c r="ER25" s="387">
        <v>341.16351420154967</v>
      </c>
      <c r="ES25" s="387">
        <v>166.37563541806639</v>
      </c>
      <c r="ET25" s="387">
        <v>269.71234232484272</v>
      </c>
      <c r="EU25" s="387">
        <v>238.17336524048881</v>
      </c>
      <c r="EW25" s="384"/>
      <c r="EX25" s="384"/>
      <c r="EY25" s="384"/>
      <c r="EZ25" s="384"/>
      <c r="FA25" s="384"/>
      <c r="FB25" s="384"/>
      <c r="FC25" s="384"/>
      <c r="FE25" s="388">
        <f t="shared" si="176"/>
        <v>0</v>
      </c>
      <c r="FF25" s="388">
        <f t="shared" si="176"/>
        <v>1.9225015733165511</v>
      </c>
      <c r="FG25" s="388">
        <f t="shared" si="176"/>
        <v>2.2175047199496545</v>
      </c>
      <c r="FH25" s="388">
        <f t="shared" si="176"/>
        <v>2.7609726463184394</v>
      </c>
      <c r="FI25" s="388">
        <f t="shared" si="176"/>
        <v>2.9721396445600696</v>
      </c>
      <c r="FJ25" s="388">
        <f t="shared" si="176"/>
        <v>3.232458818796033</v>
      </c>
      <c r="FK25" s="388">
        <f t="shared" si="176"/>
        <v>3.4117564177014263</v>
      </c>
      <c r="FL25" s="55"/>
      <c r="FM25" s="388">
        <f t="shared" si="182"/>
        <v>0</v>
      </c>
      <c r="FN25" s="388">
        <f t="shared" si="182"/>
        <v>1.6265719015721907</v>
      </c>
      <c r="FO25" s="388">
        <f t="shared" si="182"/>
        <v>0.76481038512041732</v>
      </c>
      <c r="FP25" s="388">
        <f t="shared" si="182"/>
        <v>1.1410777665247001</v>
      </c>
      <c r="FQ25" s="388">
        <f>+EK25/CW25</f>
        <v>0.69252874580889356</v>
      </c>
      <c r="FR25" s="388">
        <f>+EL25/CX25</f>
        <v>0.95751340828132503</v>
      </c>
      <c r="FS25" s="388">
        <f>+EM25/CY25</f>
        <v>0.86267233193302939</v>
      </c>
      <c r="FT25" s="55"/>
      <c r="FU25" s="55"/>
      <c r="FV25" s="388">
        <f t="shared" ref="FV25:GB25" si="183">+EO25/CS25</f>
        <v>0</v>
      </c>
      <c r="FW25" s="388">
        <f t="shared" si="183"/>
        <v>1.533824890873638</v>
      </c>
      <c r="FX25" s="388">
        <f t="shared" si="183"/>
        <v>0.602384330998328</v>
      </c>
      <c r="FY25" s="388">
        <f t="shared" si="183"/>
        <v>1.0735164071791996</v>
      </c>
      <c r="FZ25" s="388">
        <f t="shared" si="183"/>
        <v>0.52352308186930896</v>
      </c>
      <c r="GA25" s="388">
        <f t="shared" si="183"/>
        <v>0.84868578453380339</v>
      </c>
      <c r="GB25" s="388">
        <f t="shared" si="183"/>
        <v>0.7494441952186558</v>
      </c>
      <c r="GC25" s="55"/>
      <c r="GD25" s="388">
        <f>+EW25/CS25</f>
        <v>0</v>
      </c>
      <c r="GE25" s="388">
        <f>+EX25/CT25</f>
        <v>0</v>
      </c>
      <c r="GF25" s="388">
        <f>+EY25/CU25</f>
        <v>0</v>
      </c>
      <c r="GG25" s="388">
        <f>+EZ25/CV25</f>
        <v>0</v>
      </c>
      <c r="GH25" s="388"/>
      <c r="GI25" s="388"/>
      <c r="GJ25" s="388"/>
      <c r="GK25" s="55"/>
      <c r="GL25" s="388">
        <f t="shared" si="178"/>
        <v>0</v>
      </c>
      <c r="GM25" s="388">
        <f t="shared" si="178"/>
        <v>9.2746035242290752</v>
      </c>
      <c r="GN25" s="388">
        <f t="shared" si="178"/>
        <v>14.637838263058523</v>
      </c>
      <c r="GO25" s="388">
        <f t="shared" si="178"/>
        <v>15.378691000629326</v>
      </c>
      <c r="GP25" s="388">
        <f t="shared" si="178"/>
        <v>15.840018879798613</v>
      </c>
      <c r="GQ25" s="388">
        <f t="shared" si="178"/>
        <v>15.979292007551916</v>
      </c>
      <c r="GR25" s="388">
        <f t="shared" si="178"/>
        <v>15.979292007551916</v>
      </c>
    </row>
    <row r="26" spans="1:200" ht="11.45" customHeight="1">
      <c r="A26" s="37">
        <f>+A18</f>
        <v>19.123999999999999</v>
      </c>
      <c r="B26" s="64">
        <f>+B18</f>
        <v>3.1419999999999997E-2</v>
      </c>
      <c r="D26" s="6"/>
      <c r="E26" s="20" t="s">
        <v>345</v>
      </c>
      <c r="F26" s="20" t="s">
        <v>11</v>
      </c>
      <c r="G26" s="21">
        <f>+Bloomberg!F44</f>
        <v>5.71</v>
      </c>
      <c r="H26" s="22">
        <f>+(G26*CR26)/A26</f>
        <v>146.63151014432128</v>
      </c>
      <c r="I26" s="22"/>
      <c r="J26" s="23"/>
      <c r="K26" s="23"/>
      <c r="L26" s="23"/>
      <c r="M26" s="23"/>
      <c r="N26" s="23">
        <f t="shared" ref="N26" si="184">+FQ26/$G26</f>
        <v>0.18508042098566391</v>
      </c>
      <c r="O26" s="23">
        <f>+FR26/$G26</f>
        <v>0.17830518072834811</v>
      </c>
      <c r="P26" s="23">
        <f t="shared" ref="P26" si="185">+FS26/$G26</f>
        <v>0.17830518072834811</v>
      </c>
      <c r="Q26" s="24"/>
      <c r="R26" s="23" t="s">
        <v>9</v>
      </c>
      <c r="S26" s="23" t="s">
        <v>9</v>
      </c>
      <c r="T26" s="23" t="s">
        <v>9</v>
      </c>
      <c r="U26" s="23" t="s">
        <v>9</v>
      </c>
      <c r="V26" s="23" t="s">
        <v>9</v>
      </c>
      <c r="W26" s="23" t="s">
        <v>9</v>
      </c>
      <c r="X26" s="23" t="s">
        <v>9</v>
      </c>
      <c r="Y26" s="23" t="s">
        <v>9</v>
      </c>
      <c r="Z26" s="24"/>
      <c r="AA26" s="56">
        <f t="shared" ref="AA26" si="186">+$G26/GL26</f>
        <v>0.73934530243925378</v>
      </c>
      <c r="AB26" s="56">
        <f t="shared" ref="AB26" si="187">+$G26/GM26</f>
        <v>0.73495841898710512</v>
      </c>
      <c r="AC26" s="56">
        <f t="shared" ref="AC26" si="188">+$G26/GN26</f>
        <v>0.67653767280272148</v>
      </c>
      <c r="AD26" s="56">
        <f t="shared" ref="AD26" si="189">+$G26/GO26</f>
        <v>0.52521604764848007</v>
      </c>
      <c r="AE26" s="56">
        <f t="shared" ref="AE26" si="190">+$G26/GP26</f>
        <v>0.47983111171951198</v>
      </c>
      <c r="AF26" s="56">
        <f t="shared" ref="AF26" si="191">+$G26/GQ26</f>
        <v>0.47983111171951198</v>
      </c>
      <c r="AG26" s="56">
        <f t="shared" ref="AG26" si="192">+$G26/GR26</f>
        <v>0.47983111171951198</v>
      </c>
      <c r="AH26" s="24"/>
      <c r="AI26" s="23">
        <f>+DY26/DI26</f>
        <v>9.5961215296490598E-2</v>
      </c>
      <c r="AJ26" s="24"/>
      <c r="AK26" s="23">
        <f t="shared" ref="AK26" si="193">+DZ26/DJ26</f>
        <v>0.11915411782063758</v>
      </c>
      <c r="AL26" s="23">
        <f t="shared" ref="AL26" si="194">+EA26/DK26</f>
        <v>0.16297169712098725</v>
      </c>
      <c r="AM26" s="23">
        <f t="shared" ref="AM26" si="195">+EB26/DL26</f>
        <v>7.6852778332696298E-2</v>
      </c>
      <c r="AN26" s="23">
        <f t="shared" ref="AN26" si="196">+EC26/DM26</f>
        <v>8.743456154439605E-2</v>
      </c>
      <c r="AO26" s="23">
        <f t="shared" ref="AO26" si="197">+ED26/DN26</f>
        <v>0.10038170787893451</v>
      </c>
      <c r="AP26" s="23">
        <f t="shared" ref="AP26" si="198">+EE26/DO26</f>
        <v>0.11223837305390118</v>
      </c>
      <c r="AQ26" s="24"/>
      <c r="AR26" s="23">
        <f t="shared" ref="AR26" si="199">+DQ26/DI26</f>
        <v>0</v>
      </c>
      <c r="AS26" s="23">
        <f t="shared" ref="AS26" si="200">+DR26/DJ26</f>
        <v>0</v>
      </c>
      <c r="AT26" s="23">
        <f t="shared" ref="AT26" si="201">+DS26/DK26</f>
        <v>0.24268734885823551</v>
      </c>
      <c r="AU26" s="23">
        <f t="shared" ref="AU26" si="202">+DT26/DL26</f>
        <v>0.11185542132913405</v>
      </c>
      <c r="AV26" s="23">
        <f t="shared" ref="AV26" si="203">+DU26/DM26</f>
        <v>0.12262677849699752</v>
      </c>
      <c r="AW26" s="23">
        <f t="shared" ref="AW26" si="204">+DV26/DN26</f>
        <v>0.13783477170883121</v>
      </c>
      <c r="AX26" s="23">
        <f t="shared" ref="AX26" si="205">+DW26/DO26</f>
        <v>0.15093018707723654</v>
      </c>
      <c r="AY26" s="24"/>
      <c r="AZ26" s="23">
        <f t="shared" ref="AZ26" si="206">+AO26-B26</f>
        <v>6.8961707878934519E-2</v>
      </c>
      <c r="BA26" s="23">
        <f>+AZ26*0.85</f>
        <v>5.8617451697094342E-2</v>
      </c>
      <c r="BB26" s="6"/>
      <c r="BC26" s="25"/>
      <c r="BD26" s="25"/>
      <c r="BE26" s="320"/>
      <c r="BF26" s="40">
        <v>0.47599999999999998</v>
      </c>
      <c r="BG26" s="317"/>
      <c r="BH26" s="40">
        <v>0.85</v>
      </c>
      <c r="BI26" s="317"/>
      <c r="BJ26" s="40">
        <f>+CC26/BZ26</f>
        <v>0.28739240873849942</v>
      </c>
      <c r="BK26" s="321"/>
      <c r="BL26" s="321"/>
      <c r="BM26" s="40">
        <f>+(CC26-CA26)/BZ26</f>
        <v>0.25991544291569763</v>
      </c>
      <c r="BN26" s="317"/>
      <c r="BO26" s="40">
        <f>+CC26/DN26</f>
        <v>0.38012377836748451</v>
      </c>
      <c r="BP26" s="317"/>
      <c r="BQ26" s="40">
        <f>+(CC26-CA26)/DN26</f>
        <v>0.34378096711340811</v>
      </c>
      <c r="BR26" s="317"/>
      <c r="BS26" s="40">
        <f>+(CA26+CB26)/BZ26</f>
        <v>6.6910667654969266E-2</v>
      </c>
      <c r="BT26" s="317"/>
      <c r="BU26" s="390">
        <f>+BZ26</f>
        <v>10277.554</v>
      </c>
      <c r="BV26" s="317"/>
      <c r="BW26" s="40">
        <f>+CA26/(H26*A26)</f>
        <v>0.10070533963392521</v>
      </c>
      <c r="BY26" s="48" t="s">
        <v>21</v>
      </c>
      <c r="BZ26" s="88">
        <v>10277.554</v>
      </c>
      <c r="CA26" s="88">
        <v>282.39600000000002</v>
      </c>
      <c r="CB26" s="88">
        <v>405.28199999999998</v>
      </c>
      <c r="CC26" s="88">
        <f>224.435+2729.256</f>
        <v>2953.6909999999998</v>
      </c>
      <c r="CD26" s="313">
        <v>0</v>
      </c>
      <c r="CE26" s="88">
        <v>6380</v>
      </c>
      <c r="CF26" s="88">
        <v>1274</v>
      </c>
      <c r="CG26" s="313"/>
      <c r="CH26" s="389"/>
      <c r="CI26" s="98">
        <v>4674.1149999999998</v>
      </c>
      <c r="CJ26" s="33">
        <v>2127.6999999999998</v>
      </c>
      <c r="CK26" s="33">
        <v>2140.4</v>
      </c>
      <c r="CL26" s="33">
        <v>4144.8999999999996</v>
      </c>
      <c r="CM26" s="33">
        <v>5339.1</v>
      </c>
      <c r="CN26" s="33">
        <v>5844.1</v>
      </c>
      <c r="CO26" s="98">
        <f>+CN26</f>
        <v>5844.1</v>
      </c>
      <c r="CP26" s="98">
        <f>+CO26</f>
        <v>5844.1</v>
      </c>
      <c r="CQ26" s="39"/>
      <c r="CR26" s="98">
        <v>491.1</v>
      </c>
      <c r="CS26" s="33">
        <v>275.5</v>
      </c>
      <c r="CT26" s="33">
        <v>275.5</v>
      </c>
      <c r="CU26" s="33">
        <v>491.1</v>
      </c>
      <c r="CV26" s="33">
        <v>491.1</v>
      </c>
      <c r="CW26" s="33">
        <v>491.1</v>
      </c>
      <c r="CX26" s="33">
        <v>491.1</v>
      </c>
      <c r="CY26" s="33">
        <v>491.1</v>
      </c>
      <c r="CZ26" s="39"/>
      <c r="DA26" s="33">
        <v>625.69999999999993</v>
      </c>
      <c r="DB26" s="33">
        <v>1104.0999999999999</v>
      </c>
      <c r="DC26" s="33">
        <v>-189.5</v>
      </c>
      <c r="DD26" s="33">
        <v>4068.7</v>
      </c>
      <c r="DE26" s="33">
        <v>4925.0280000000002</v>
      </c>
      <c r="DF26" s="33">
        <v>4966.1590000000006</v>
      </c>
      <c r="DG26" s="33">
        <v>5214.4669500000009</v>
      </c>
      <c r="DH26" s="39"/>
      <c r="DI26" s="33">
        <f>+(CS26*G26)+DA26</f>
        <v>2198.8049999999998</v>
      </c>
      <c r="DJ26" s="33">
        <f>+(CT26*G26)+DB26</f>
        <v>2677.2049999999999</v>
      </c>
      <c r="DK26" s="33">
        <f>+(CU26*G26)+DC26</f>
        <v>2614.681</v>
      </c>
      <c r="DL26" s="33">
        <f>+(CV26*G26)+DD26</f>
        <v>6872.8809999999994</v>
      </c>
      <c r="DM26" s="325">
        <f t="shared" ref="DM26" si="207">+(CW26*$G26)+DE26</f>
        <v>7729.2090000000007</v>
      </c>
      <c r="DN26" s="325">
        <f t="shared" ref="DN26" si="208">+(CX26*$G26)+DF26</f>
        <v>7770.34</v>
      </c>
      <c r="DO26" s="325">
        <f t="shared" ref="DO26" si="209">+(CY26*$G26)+DG26</f>
        <v>8018.6479500000005</v>
      </c>
      <c r="DP26" s="39"/>
      <c r="DQ26" s="33"/>
      <c r="DR26" s="33"/>
      <c r="DS26" s="33">
        <v>634.55000000000007</v>
      </c>
      <c r="DT26" s="33">
        <v>768.76900000000012</v>
      </c>
      <c r="DU26" s="33">
        <v>947.80799999999977</v>
      </c>
      <c r="DV26" s="33">
        <v>1071.0230399999996</v>
      </c>
      <c r="DW26" s="33">
        <v>1210.2560351999994</v>
      </c>
      <c r="DX26"/>
      <c r="DY26" s="33">
        <v>211</v>
      </c>
      <c r="DZ26" s="33">
        <v>319</v>
      </c>
      <c r="EA26" s="33">
        <v>426.11900000000003</v>
      </c>
      <c r="EB26" s="33">
        <v>528.20000000000005</v>
      </c>
      <c r="EC26" s="33">
        <v>675.8</v>
      </c>
      <c r="ED26" s="33">
        <v>780</v>
      </c>
      <c r="EE26" s="33">
        <v>900</v>
      </c>
      <c r="EG26" s="33"/>
      <c r="EH26" s="33"/>
      <c r="EI26" s="33">
        <v>331.19600000000003</v>
      </c>
      <c r="EJ26" s="33">
        <v>450.61600000000004</v>
      </c>
      <c r="EK26" s="33">
        <v>518.99900000000002</v>
      </c>
      <c r="EL26" s="33">
        <v>500</v>
      </c>
      <c r="EM26" s="33">
        <v>500</v>
      </c>
      <c r="EO26" s="100" t="s">
        <v>108</v>
      </c>
      <c r="EP26" s="100" t="s">
        <v>108</v>
      </c>
      <c r="EQ26" s="100" t="s">
        <v>108</v>
      </c>
      <c r="ER26" s="100" t="s">
        <v>108</v>
      </c>
      <c r="ES26" s="100" t="s">
        <v>108</v>
      </c>
      <c r="ET26" s="100" t="s">
        <v>108</v>
      </c>
      <c r="EU26" s="100" t="s">
        <v>108</v>
      </c>
      <c r="EW26" s="33"/>
      <c r="EX26" s="33"/>
      <c r="EY26" s="33"/>
      <c r="EZ26" s="33"/>
      <c r="FA26" s="33"/>
      <c r="FB26" s="33"/>
      <c r="FC26" s="33"/>
      <c r="FE26" s="52">
        <f>+DY26/CS26</f>
        <v>0.76588021778584392</v>
      </c>
      <c r="FF26" s="52">
        <f t="shared" ref="FF26" si="210">+DZ26/CT26</f>
        <v>1.1578947368421053</v>
      </c>
      <c r="FG26" s="52">
        <f t="shared" ref="FG26" si="211">+EA26/CU26</f>
        <v>0.86768275300346165</v>
      </c>
      <c r="FH26" s="52">
        <f t="shared" ref="FH26" si="212">+EB26/CV26</f>
        <v>1.0755446955813481</v>
      </c>
      <c r="FI26" s="52">
        <f t="shared" ref="FI26" si="213">+EC26/CW26</f>
        <v>1.3760944817756056</v>
      </c>
      <c r="FJ26" s="52">
        <f t="shared" ref="FJ26" si="214">+ED26/CX26</f>
        <v>1.5882712278558337</v>
      </c>
      <c r="FK26" s="52">
        <f t="shared" ref="FK26" si="215">+EE26/CY26</f>
        <v>1.8326206475259621</v>
      </c>
      <c r="FM26" s="52">
        <f t="shared" ref="FM26" si="216">+EG26/CS26</f>
        <v>0</v>
      </c>
      <c r="FN26" s="52">
        <f t="shared" ref="FN26" si="217">+EH26/CT26</f>
        <v>0</v>
      </c>
      <c r="FO26" s="52">
        <f t="shared" ref="FO26" si="218">+EI26/CU26</f>
        <v>0.67439625330889841</v>
      </c>
      <c r="FP26" s="52">
        <f t="shared" ref="FP26:FS26" si="219">+EJ26/CV26</f>
        <v>0.91756465078395444</v>
      </c>
      <c r="FQ26" s="52">
        <f t="shared" si="219"/>
        <v>1.0568092038281409</v>
      </c>
      <c r="FR26" s="52">
        <f>+EL26/CX26</f>
        <v>1.0181225819588677</v>
      </c>
      <c r="FS26" s="52">
        <f t="shared" si="219"/>
        <v>1.0181225819588677</v>
      </c>
      <c r="FT26" s="361"/>
      <c r="FU26" s="361"/>
      <c r="FV26" s="52">
        <f t="shared" ref="FV26:GB26" si="220">+EG26/CS26</f>
        <v>0</v>
      </c>
      <c r="FW26" s="52">
        <f t="shared" si="220"/>
        <v>0</v>
      </c>
      <c r="FX26" s="52">
        <f t="shared" si="220"/>
        <v>0.67439625330889841</v>
      </c>
      <c r="FY26" s="52">
        <f t="shared" si="220"/>
        <v>0.91756465078395444</v>
      </c>
      <c r="FZ26" s="52">
        <f t="shared" si="220"/>
        <v>1.0568092038281409</v>
      </c>
      <c r="GA26" s="52">
        <f t="shared" si="220"/>
        <v>1.0181225819588677</v>
      </c>
      <c r="GB26" s="52">
        <f t="shared" si="220"/>
        <v>1.0181225819588677</v>
      </c>
      <c r="GC26" s="361"/>
      <c r="GD26" s="52"/>
      <c r="GE26" s="52"/>
      <c r="GF26" s="52"/>
      <c r="GG26" s="52"/>
      <c r="GH26" s="52"/>
      <c r="GI26" s="52"/>
      <c r="GJ26" s="52"/>
      <c r="GL26" s="52">
        <f>+CJ26/CS26</f>
        <v>7.7230490018148812</v>
      </c>
      <c r="GM26" s="52">
        <f t="shared" ref="GM26" si="221">+CK26/CT26</f>
        <v>7.7691470054446468</v>
      </c>
      <c r="GN26" s="52">
        <f t="shared" ref="GN26" si="222">+CL26/CU26</f>
        <v>8.4400325799226223</v>
      </c>
      <c r="GO26" s="52">
        <f t="shared" ref="GO26" si="223">+CM26/CV26</f>
        <v>10.871716554673183</v>
      </c>
      <c r="GP26" s="52">
        <f t="shared" ref="GP26" si="224">+CN26/CW26</f>
        <v>11.90002036245164</v>
      </c>
      <c r="GQ26" s="52">
        <f t="shared" ref="GQ26" si="225">+CO26/CX26</f>
        <v>11.90002036245164</v>
      </c>
      <c r="GR26" s="52">
        <f t="shared" ref="GR26" si="226">+CP26/CY26</f>
        <v>11.90002036245164</v>
      </c>
    </row>
    <row r="27" spans="1:200">
      <c r="D27" s="117"/>
      <c r="E27" s="118" t="s">
        <v>8</v>
      </c>
      <c r="F27" s="118"/>
      <c r="G27" s="119"/>
      <c r="H27" s="120"/>
      <c r="I27" s="120"/>
      <c r="J27" s="128">
        <f t="shared" ref="J27:P27" si="227">+AVERAGE(J22:J24)</f>
        <v>7.0762793544207614E-2</v>
      </c>
      <c r="K27" s="128">
        <f t="shared" si="227"/>
        <v>0.17332330537199722</v>
      </c>
      <c r="L27" s="128">
        <f t="shared" si="227"/>
        <v>-1.423115491064028</v>
      </c>
      <c r="M27" s="128">
        <f t="shared" si="227"/>
        <v>7.4548794467151708E-2</v>
      </c>
      <c r="N27" s="128">
        <f t="shared" si="227"/>
        <v>0.12623065893042282</v>
      </c>
      <c r="O27" s="128">
        <f t="shared" ref="O27" si="228">+AVERAGE(O22:O24)</f>
        <v>0.12420270823825245</v>
      </c>
      <c r="P27" s="309">
        <f t="shared" si="227"/>
        <v>0.11677145634131715</v>
      </c>
      <c r="Q27" s="128"/>
      <c r="R27" s="128">
        <f t="shared" ref="R27:Y27" si="229">+AVERAGE(R22:R24)</f>
        <v>1.3687395121882079E-2</v>
      </c>
      <c r="S27" s="128">
        <f t="shared" si="229"/>
        <v>2.1187576094968977E-2</v>
      </c>
      <c r="T27" s="309">
        <f t="shared" si="229"/>
        <v>2.1187576094968977E-2</v>
      </c>
      <c r="U27" s="128">
        <f t="shared" si="229"/>
        <v>2.7012318217956736E-2</v>
      </c>
      <c r="V27" s="12">
        <f t="shared" si="229"/>
        <v>3.7876218283970066E-2</v>
      </c>
      <c r="W27" s="12">
        <f t="shared" si="229"/>
        <v>4.7159500313507366E-2</v>
      </c>
      <c r="X27" s="12">
        <f t="shared" ref="X27" si="230">+AVERAGE(X22:X24)</f>
        <v>5.3202681489801167E-2</v>
      </c>
      <c r="Y27" s="263">
        <f t="shared" si="229"/>
        <v>5.3053945619268218E-2</v>
      </c>
      <c r="Z27" s="13"/>
      <c r="AA27" s="103">
        <f t="shared" ref="AA27:AG27" si="231">+AVERAGE(AA22:AA24)</f>
        <v>1.0978374897263687</v>
      </c>
      <c r="AB27" s="103">
        <f t="shared" si="231"/>
        <v>0.81245545622799209</v>
      </c>
      <c r="AC27" s="103">
        <f t="shared" si="231"/>
        <v>0.81049600461536719</v>
      </c>
      <c r="AD27" s="103">
        <f t="shared" si="231"/>
        <v>0.76242682180811128</v>
      </c>
      <c r="AE27" s="311">
        <f t="shared" si="231"/>
        <v>0.72892672593587993</v>
      </c>
      <c r="AF27" s="311">
        <f t="shared" ref="AF27" si="232">+AVERAGE(AF22:AF24)</f>
        <v>0.68742931854026323</v>
      </c>
      <c r="AG27" s="311">
        <f t="shared" si="231"/>
        <v>0.68486125331724323</v>
      </c>
      <c r="AH27" s="13"/>
      <c r="AI27" s="12">
        <f t="shared" ref="AI27:AP27" si="233">+AVERAGE(AI22:AI24)</f>
        <v>6.3248127483675351E-2</v>
      </c>
      <c r="AJ27" s="13"/>
      <c r="AK27" s="12">
        <f t="shared" si="233"/>
        <v>4.8643516837303336E-2</v>
      </c>
      <c r="AL27" s="12">
        <f t="shared" si="233"/>
        <v>8.1887108513073834E-2</v>
      </c>
      <c r="AM27" s="12">
        <f t="shared" si="233"/>
        <v>8.174884772919859E-2</v>
      </c>
      <c r="AN27" s="377">
        <f t="shared" si="233"/>
        <v>0.10415457396160016</v>
      </c>
      <c r="AO27" s="377">
        <f t="shared" ref="AO27" si="234">+AVERAGE(AO22:AO24)</f>
        <v>0.11447239990892248</v>
      </c>
      <c r="AP27" s="263">
        <f t="shared" si="233"/>
        <v>0.11740541112957374</v>
      </c>
      <c r="AQ27" s="13"/>
      <c r="AR27" s="12">
        <f t="shared" ref="AR27:AX27" si="235">+AVERAGE(AR22:AR24)</f>
        <v>8.6047116237517818E-2</v>
      </c>
      <c r="AS27" s="12">
        <f t="shared" si="235"/>
        <v>9.0952367910848819E-2</v>
      </c>
      <c r="AT27" s="12">
        <f t="shared" si="235"/>
        <v>8.0038640542554232E-2</v>
      </c>
      <c r="AU27" s="12">
        <f t="shared" si="235"/>
        <v>7.3768693329954921E-2</v>
      </c>
      <c r="AV27" s="263">
        <f t="shared" si="235"/>
        <v>8.4683520424486985E-2</v>
      </c>
      <c r="AW27" s="263">
        <f t="shared" ref="AW27" si="236">+AVERAGE(AW22:AW24)</f>
        <v>9.2758925421709604E-2</v>
      </c>
      <c r="AX27" s="263">
        <f t="shared" si="235"/>
        <v>9.6564394200081186E-2</v>
      </c>
      <c r="AY27" s="13"/>
      <c r="AZ27" s="263">
        <f>+AVERAGE(AZ22:AZ24)</f>
        <v>8.3052399908922464E-2</v>
      </c>
      <c r="BA27" s="263">
        <f>+AVERAGE(BA22:BA24)</f>
        <v>7.059453992258409E-2</v>
      </c>
      <c r="BB27" s="264"/>
      <c r="ED27" s="403"/>
      <c r="EE27" s="403"/>
    </row>
    <row r="28" spans="1:200" ht="8.1" customHeight="1">
      <c r="A28" s="37"/>
      <c r="B28" s="63"/>
      <c r="D28" s="14"/>
      <c r="E28" s="15"/>
      <c r="F28" s="15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CI28" s="104"/>
      <c r="FQ28" s="361"/>
      <c r="FR28" s="361"/>
      <c r="FS28" s="361"/>
      <c r="FT28" s="361"/>
      <c r="FU28" s="361"/>
      <c r="FV28" s="361"/>
      <c r="FW28" s="361"/>
      <c r="FX28" s="361"/>
      <c r="FY28" s="361"/>
      <c r="FZ28" s="361"/>
      <c r="GA28" s="361"/>
      <c r="GB28" s="361"/>
      <c r="GC28" s="361"/>
      <c r="GD28" s="361"/>
      <c r="GE28" s="361"/>
      <c r="GF28" s="361"/>
      <c r="GG28" s="361"/>
      <c r="GH28" s="361"/>
      <c r="GI28" s="361"/>
      <c r="GJ28" s="361"/>
    </row>
    <row r="29" spans="1:200">
      <c r="D29" s="108"/>
      <c r="E29" s="109" t="s">
        <v>127</v>
      </c>
      <c r="F29" s="109"/>
      <c r="G29" s="110"/>
      <c r="H29" s="108"/>
      <c r="I29" s="108"/>
      <c r="FQ29" s="361"/>
      <c r="FR29" s="361"/>
      <c r="FS29" s="361"/>
      <c r="FT29" s="361"/>
      <c r="FU29" s="361"/>
      <c r="FV29" s="361"/>
      <c r="FW29" s="361"/>
      <c r="FX29" s="361"/>
      <c r="FY29" s="361"/>
      <c r="FZ29" s="361"/>
      <c r="GA29" s="361"/>
      <c r="GB29" s="361"/>
      <c r="GC29" s="361"/>
      <c r="GD29" s="361"/>
      <c r="GE29" s="361"/>
      <c r="GF29" s="361"/>
      <c r="GG29" s="361"/>
      <c r="GH29" s="361"/>
      <c r="GI29" s="361"/>
      <c r="GJ29" s="361"/>
    </row>
    <row r="30" spans="1:200" ht="11.25" customHeight="1">
      <c r="A30" s="105">
        <f>+Bloomberg!D9</f>
        <v>3.9908999999999999</v>
      </c>
      <c r="B30" s="106">
        <f>+Bloomberg!D17/100</f>
        <v>3.1427999999999998E-2</v>
      </c>
      <c r="D30" s="19"/>
      <c r="E30" s="27" t="s">
        <v>128</v>
      </c>
      <c r="F30" s="27" t="s">
        <v>129</v>
      </c>
      <c r="G30" s="28">
        <f>+Bloomberg!F53</f>
        <v>15.47</v>
      </c>
      <c r="H30" s="29">
        <f>+(G30*CS30)/A30</f>
        <v>2663.081089077677</v>
      </c>
      <c r="I30" s="29"/>
      <c r="J30" s="30">
        <f t="shared" ref="J30:P34" si="237">+FM30/$G30</f>
        <v>4.3530962396793514E-2</v>
      </c>
      <c r="K30" s="30">
        <f t="shared" si="237"/>
        <v>3.9725236915078892E-2</v>
      </c>
      <c r="L30" s="30">
        <f t="shared" si="237"/>
        <v>2.1789971029861025E-2</v>
      </c>
      <c r="M30" s="30">
        <f t="shared" si="237"/>
        <v>3.2819250267600457E-2</v>
      </c>
      <c r="N30" s="30">
        <f t="shared" si="237"/>
        <v>4.2443498912912977E-2</v>
      </c>
      <c r="O30" s="30">
        <f t="shared" si="237"/>
        <v>4.8609218739974744E-2</v>
      </c>
      <c r="P30" s="30">
        <f t="shared" si="237"/>
        <v>5.1018759031918284E-2</v>
      </c>
      <c r="Q30" s="31"/>
      <c r="R30" s="30">
        <f t="shared" ref="R30:S34" si="238">+GD30/$G30</f>
        <v>2.6608260894283645E-2</v>
      </c>
      <c r="S30" s="30">
        <f t="shared" si="238"/>
        <v>9.9313092287697229E-3</v>
      </c>
      <c r="T30" s="30"/>
      <c r="U30" s="30">
        <f t="shared" ref="U30:Y34" si="239">+GF30/$G30</f>
        <v>0</v>
      </c>
      <c r="V30" s="30">
        <f t="shared" si="239"/>
        <v>0</v>
      </c>
      <c r="W30" s="30">
        <f t="shared" si="239"/>
        <v>6.0746058559028749E-3</v>
      </c>
      <c r="X30" s="30">
        <f t="shared" si="239"/>
        <v>7.8382786429082529E-2</v>
      </c>
      <c r="Y30" s="30">
        <f t="shared" si="239"/>
        <v>2.4706504666657525E-2</v>
      </c>
      <c r="Z30" s="31"/>
      <c r="AA30" s="57" t="s">
        <v>9</v>
      </c>
      <c r="AB30" s="57" t="s">
        <v>9</v>
      </c>
      <c r="AC30" s="57" t="s">
        <v>9</v>
      </c>
      <c r="AD30" s="57" t="s">
        <v>9</v>
      </c>
      <c r="AE30" s="57" t="s">
        <v>9</v>
      </c>
      <c r="AF30" s="57" t="s">
        <v>9</v>
      </c>
      <c r="AG30" s="57" t="s">
        <v>9</v>
      </c>
      <c r="AH30" s="31"/>
      <c r="AI30" s="30">
        <f>+DY30/DI30</f>
        <v>7.1729912531986628E-2</v>
      </c>
      <c r="AJ30" s="31"/>
      <c r="AK30" s="30">
        <f t="shared" ref="AK30:AL35" si="240">+DZ30/DJ30</f>
        <v>7.1966330602398917E-2</v>
      </c>
      <c r="AL30" s="30">
        <f t="shared" si="240"/>
        <v>6.6147945688476498E-2</v>
      </c>
      <c r="AM30" s="30">
        <f t="shared" ref="AM30:AM35" si="241">+EB30/DL30</f>
        <v>6.9278626786749245E-2</v>
      </c>
      <c r="AN30" s="30">
        <f t="shared" ref="AN30:AO35" si="242">+EC30/DM30</f>
        <v>7.0404098052204891E-2</v>
      </c>
      <c r="AO30" s="30">
        <f t="shared" si="242"/>
        <v>7.3623971994180207E-2</v>
      </c>
      <c r="AP30" s="30">
        <f t="shared" ref="AP30:AP34" si="243">+EE30/DO30</f>
        <v>7.6513798383396378E-2</v>
      </c>
      <c r="AQ30" s="31"/>
      <c r="AR30" s="30">
        <f t="shared" ref="AR30:AX30" si="244">+DQ30/DI30</f>
        <v>8.1614481846926615E-2</v>
      </c>
      <c r="AS30" s="30">
        <f t="shared" si="244"/>
        <v>8.2051790229945992E-2</v>
      </c>
      <c r="AT30" s="30">
        <f t="shared" si="244"/>
        <v>7.9659087166786158E-2</v>
      </c>
      <c r="AU30" s="30">
        <f t="shared" si="244"/>
        <v>9.3257204277482492E-2</v>
      </c>
      <c r="AV30" s="30">
        <f t="shared" si="244"/>
        <v>8.5333963796102641E-2</v>
      </c>
      <c r="AW30" s="30">
        <f t="shared" si="244"/>
        <v>8.7465970589128694E-2</v>
      </c>
      <c r="AX30" s="30">
        <f t="shared" si="244"/>
        <v>9.1730939656190391E-2</v>
      </c>
      <c r="AY30" s="31"/>
      <c r="AZ30" s="30">
        <f t="shared" ref="AZ30:AZ35" si="245">+AO30-B30</f>
        <v>4.2195971994180209E-2</v>
      </c>
      <c r="BA30" s="30">
        <f t="shared" ref="BA30:BA35" si="246">+AZ30*0.85</f>
        <v>3.5866576195053179E-2</v>
      </c>
      <c r="BB30" s="19"/>
      <c r="BC30" s="25"/>
      <c r="BD30" s="18"/>
      <c r="BE30" s="25"/>
      <c r="BF30" s="32"/>
      <c r="BG30" s="25"/>
      <c r="BH30" s="32"/>
      <c r="BI30" s="25"/>
      <c r="BJ30" s="32"/>
      <c r="BK30" s="25"/>
      <c r="BL30" s="25"/>
      <c r="BM30" s="32"/>
      <c r="BN30" s="25"/>
      <c r="BO30" s="32"/>
      <c r="BP30" s="25"/>
      <c r="BQ30" s="32"/>
      <c r="BR30" s="25"/>
      <c r="BS30" s="32"/>
      <c r="BT30" s="25"/>
      <c r="BU30" s="34"/>
      <c r="BV30" s="25"/>
      <c r="BW30" s="41"/>
      <c r="BY30" s="48"/>
      <c r="BZ30" s="88"/>
      <c r="CA30" s="88"/>
      <c r="CB30" s="89"/>
      <c r="CC30" s="88"/>
      <c r="CD30" s="89"/>
      <c r="CE30" s="89"/>
      <c r="CF30" s="89"/>
      <c r="CG30" s="89"/>
      <c r="CH30" s="39"/>
      <c r="CI30" s="99">
        <v>18849.448</v>
      </c>
      <c r="CJ30" s="34">
        <v>19861.36</v>
      </c>
      <c r="CK30" s="34">
        <v>20272.169999999998</v>
      </c>
      <c r="CL30" s="34">
        <v>19382.745999999999</v>
      </c>
      <c r="CM30" s="34">
        <v>18105.458999999999</v>
      </c>
      <c r="CN30" s="34">
        <v>18269.944</v>
      </c>
      <c r="CO30" s="34">
        <v>18137.881999060923</v>
      </c>
      <c r="CP30" s="34">
        <v>18576.338031568186</v>
      </c>
      <c r="CQ30" s="39"/>
      <c r="CR30" s="99">
        <v>843.12402800000007</v>
      </c>
      <c r="CS30" s="34">
        <v>687.01294883000003</v>
      </c>
      <c r="CT30" s="34">
        <v>691.67261341750009</v>
      </c>
      <c r="CU30" s="34">
        <v>697.51522096249994</v>
      </c>
      <c r="CV30" s="34">
        <v>830.04046500000004</v>
      </c>
      <c r="CW30" s="34">
        <v>851.29791324999997</v>
      </c>
      <c r="CX30" s="34">
        <v>843.12402099999997</v>
      </c>
      <c r="CY30" s="34">
        <v>843.12402800000007</v>
      </c>
      <c r="CZ30" s="39"/>
      <c r="DA30" s="34">
        <v>5462.8310000000001</v>
      </c>
      <c r="DB30" s="34">
        <v>5943.5730000000003</v>
      </c>
      <c r="DC30" s="34">
        <v>5425.87</v>
      </c>
      <c r="DD30" s="34">
        <v>2716.3040000000001</v>
      </c>
      <c r="DE30" s="34">
        <v>2964.4639999999999</v>
      </c>
      <c r="DF30" s="34">
        <v>3007.0007443609738</v>
      </c>
      <c r="DG30" s="34">
        <v>2920.3295668079213</v>
      </c>
      <c r="DH30" s="39"/>
      <c r="DI30" s="34">
        <v>15403.908369570101</v>
      </c>
      <c r="DJ30" s="34">
        <v>15884.650369570101</v>
      </c>
      <c r="DK30" s="34">
        <v>15366.947369570102</v>
      </c>
      <c r="DL30" s="34">
        <v>12657.381369570101</v>
      </c>
      <c r="DM30" s="327">
        <v>12905.541369570101</v>
      </c>
      <c r="DN30" s="327">
        <v>12948.078113931075</v>
      </c>
      <c r="DO30" s="327">
        <v>12861.406936378022</v>
      </c>
      <c r="DP30" s="39"/>
      <c r="DQ30" s="34">
        <v>1257.182</v>
      </c>
      <c r="DR30" s="34">
        <v>1303.364</v>
      </c>
      <c r="DS30" s="34">
        <v>1224.117</v>
      </c>
      <c r="DT30" s="34">
        <v>1180.3920000000001</v>
      </c>
      <c r="DU30" s="34">
        <v>1101.2809999999999</v>
      </c>
      <c r="DV30" s="34">
        <v>1132.5162194988363</v>
      </c>
      <c r="DW30" s="34">
        <v>1179.7889435746008</v>
      </c>
      <c r="DX30"/>
      <c r="DY30" s="34">
        <v>1104.921</v>
      </c>
      <c r="DZ30" s="34">
        <v>1143.1600000000001</v>
      </c>
      <c r="EA30" s="34">
        <v>1016.492</v>
      </c>
      <c r="EB30" s="34">
        <v>876.88599999999997</v>
      </c>
      <c r="EC30" s="34">
        <v>908.60299999999995</v>
      </c>
      <c r="ED30" s="34">
        <v>953.28894043851915</v>
      </c>
      <c r="EE30" s="34">
        <v>984.07509725684372</v>
      </c>
      <c r="EG30" s="34">
        <v>462.65100000000001</v>
      </c>
      <c r="EH30" s="34">
        <v>425.06700000000001</v>
      </c>
      <c r="EI30" s="34">
        <v>235.126</v>
      </c>
      <c r="EJ30" s="34">
        <v>421.423</v>
      </c>
      <c r="EK30" s="34">
        <v>558.96299999999997</v>
      </c>
      <c r="EL30" s="34">
        <v>634.01629140774742</v>
      </c>
      <c r="EM30" s="34">
        <v>665.44424083900458</v>
      </c>
      <c r="EO30" s="34">
        <v>462.65100000000001</v>
      </c>
      <c r="EP30" s="34">
        <v>425.06700000000001</v>
      </c>
      <c r="EQ30" s="34">
        <v>235.126</v>
      </c>
      <c r="ER30" s="34">
        <v>421.423</v>
      </c>
      <c r="ES30" s="34">
        <v>558.96299999999997</v>
      </c>
      <c r="ET30" s="34">
        <v>634.01629140774742</v>
      </c>
      <c r="EU30" s="34">
        <v>665.44424083900458</v>
      </c>
      <c r="EW30" s="34">
        <v>282.79500000000002</v>
      </c>
      <c r="EX30" s="34">
        <v>106.26675</v>
      </c>
      <c r="EY30" s="34">
        <v>0</v>
      </c>
      <c r="EZ30" s="34">
        <v>0</v>
      </c>
      <c r="FA30" s="34">
        <v>80</v>
      </c>
      <c r="FB30" s="34">
        <v>1022.3567638025823</v>
      </c>
      <c r="FC30" s="34">
        <v>322.25012041950231</v>
      </c>
      <c r="FE30" s="54">
        <f t="shared" ref="FE30:FK35" si="247">+DY30/CS30</f>
        <v>1.6082971971368338</v>
      </c>
      <c r="FF30" s="54">
        <f t="shared" si="247"/>
        <v>1.6527472359383093</v>
      </c>
      <c r="FG30" s="54">
        <f t="shared" si="247"/>
        <v>1.4573043991747514</v>
      </c>
      <c r="FH30" s="54">
        <f t="shared" si="247"/>
        <v>1.0564376521089245</v>
      </c>
      <c r="FI30" s="54">
        <f t="shared" si="247"/>
        <v>1.0673149620809317</v>
      </c>
      <c r="FJ30" s="54">
        <f t="shared" si="247"/>
        <v>1.1306627692896905</v>
      </c>
      <c r="FK30" s="54">
        <f t="shared" si="247"/>
        <v>1.1671771466307252</v>
      </c>
      <c r="FL30" s="55"/>
      <c r="FM30" s="54">
        <f t="shared" ref="FM30:FS35" si="248">+EG30/CS30</f>
        <v>0.67342398827839567</v>
      </c>
      <c r="FN30" s="54">
        <f t="shared" si="248"/>
        <v>0.61454941507627048</v>
      </c>
      <c r="FO30" s="54">
        <f t="shared" si="248"/>
        <v>0.33709085183195009</v>
      </c>
      <c r="FP30" s="54">
        <f t="shared" si="248"/>
        <v>0.50771380163977908</v>
      </c>
      <c r="FQ30" s="54">
        <f t="shared" si="248"/>
        <v>0.65660092818276383</v>
      </c>
      <c r="FR30" s="54">
        <f t="shared" si="248"/>
        <v>0.75198461390740934</v>
      </c>
      <c r="FS30" s="54">
        <f t="shared" si="248"/>
        <v>0.78926020222377591</v>
      </c>
      <c r="FT30" s="363"/>
      <c r="FU30" s="363"/>
      <c r="FV30" s="54"/>
      <c r="FW30" s="54"/>
      <c r="FX30" s="54"/>
      <c r="FY30" s="54"/>
      <c r="FZ30" s="54"/>
      <c r="GA30" s="54"/>
      <c r="GB30" s="54"/>
      <c r="GC30" s="363"/>
      <c r="GD30" s="54">
        <f t="shared" ref="GD30:GJ35" si="249">+EW30/CS30</f>
        <v>0.41162979603456801</v>
      </c>
      <c r="GE30" s="54">
        <f t="shared" si="249"/>
        <v>0.15363735376906762</v>
      </c>
      <c r="GF30" s="54">
        <f t="shared" si="249"/>
        <v>0</v>
      </c>
      <c r="GG30" s="54">
        <f t="shared" si="249"/>
        <v>0</v>
      </c>
      <c r="GH30" s="54">
        <f t="shared" si="249"/>
        <v>9.3974152590817484E-2</v>
      </c>
      <c r="GI30" s="54">
        <f t="shared" si="249"/>
        <v>1.2125817060579067</v>
      </c>
      <c r="GJ30" s="54">
        <f t="shared" si="249"/>
        <v>0.3822096271931919</v>
      </c>
      <c r="GK30" s="55"/>
      <c r="GL30" s="54">
        <f t="shared" ref="GL30:GQ35" si="250">+CJ30/CS30</f>
        <v>28.909731663463383</v>
      </c>
      <c r="GM30" s="54">
        <f t="shared" si="250"/>
        <v>29.308909456219176</v>
      </c>
      <c r="GN30" s="54">
        <f t="shared" si="250"/>
        <v>27.788276753665368</v>
      </c>
      <c r="GO30" s="54">
        <f t="shared" si="250"/>
        <v>21.812742587194226</v>
      </c>
      <c r="GP30" s="54">
        <f t="shared" si="250"/>
        <v>21.461281316021129</v>
      </c>
      <c r="GQ30" s="54">
        <f t="shared" si="250"/>
        <v>21.512709337290868</v>
      </c>
      <c r="GR30" s="54"/>
    </row>
    <row r="31" spans="1:200" ht="11.25" customHeight="1">
      <c r="A31" s="37">
        <f t="shared" ref="A31:B33" si="251">+A30</f>
        <v>3.9908999999999999</v>
      </c>
      <c r="B31" s="64">
        <f t="shared" si="251"/>
        <v>3.1427999999999998E-2</v>
      </c>
      <c r="D31" s="6"/>
      <c r="E31" s="20" t="s">
        <v>130</v>
      </c>
      <c r="F31" s="20" t="s">
        <v>5</v>
      </c>
      <c r="G31" s="21">
        <f>+Bloomberg!F54</f>
        <v>29.04</v>
      </c>
      <c r="H31" s="22">
        <f>+(G31*CS31)/A31</f>
        <v>4103.6760777117943</v>
      </c>
      <c r="I31" s="22"/>
      <c r="J31" s="23">
        <f t="shared" si="237"/>
        <v>2.8472536205785843E-2</v>
      </c>
      <c r="K31" s="23">
        <f t="shared" si="237"/>
        <v>3.1710516140125426E-2</v>
      </c>
      <c r="L31" s="23">
        <f t="shared" si="237"/>
        <v>2.8127016170468661E-2</v>
      </c>
      <c r="M31" s="23">
        <f t="shared" si="237"/>
        <v>3.1680848423214426E-2</v>
      </c>
      <c r="N31" s="23">
        <f t="shared" si="237"/>
        <v>3.8886509704445307E-2</v>
      </c>
      <c r="O31" s="23">
        <f t="shared" si="237"/>
        <v>3.9476713931250601E-2</v>
      </c>
      <c r="P31" s="23">
        <f t="shared" si="237"/>
        <v>4.4863091489387448E-2</v>
      </c>
      <c r="Q31" s="24"/>
      <c r="R31" s="23">
        <f t="shared" si="238"/>
        <v>1.0679376336071763E-2</v>
      </c>
      <c r="S31" s="23">
        <f t="shared" si="238"/>
        <v>1.3723113217381693E-2</v>
      </c>
      <c r="T31" s="23"/>
      <c r="U31" s="23">
        <f t="shared" si="239"/>
        <v>5.7886053452161192E-3</v>
      </c>
      <c r="V31" s="23">
        <f t="shared" si="239"/>
        <v>1.3823842401601876E-2</v>
      </c>
      <c r="W31" s="23">
        <f t="shared" si="239"/>
        <v>1.4954248327758348E-2</v>
      </c>
      <c r="X31" s="23">
        <f t="shared" si="239"/>
        <v>1.337906732804622E-2</v>
      </c>
      <c r="Y31" s="23">
        <f t="shared" si="239"/>
        <v>1.5728959638870443E-2</v>
      </c>
      <c r="Z31" s="24"/>
      <c r="AA31" s="56" t="s">
        <v>9</v>
      </c>
      <c r="AB31" s="56" t="s">
        <v>9</v>
      </c>
      <c r="AC31" s="56" t="s">
        <v>9</v>
      </c>
      <c r="AD31" s="56" t="s">
        <v>9</v>
      </c>
      <c r="AE31" s="56" t="s">
        <v>9</v>
      </c>
      <c r="AF31" s="56" t="s">
        <v>9</v>
      </c>
      <c r="AG31" s="56" t="s">
        <v>9</v>
      </c>
      <c r="AH31" s="24"/>
      <c r="AI31" s="23">
        <f>+DY31/DI31</f>
        <v>4.3341898459604331E-2</v>
      </c>
      <c r="AJ31" s="24"/>
      <c r="AK31" s="23">
        <f t="shared" si="240"/>
        <v>4.3926755413433126E-2</v>
      </c>
      <c r="AL31" s="23">
        <f t="shared" si="240"/>
        <v>4.3667572911588626E-2</v>
      </c>
      <c r="AM31" s="23">
        <f t="shared" si="241"/>
        <v>4.5921228360434101E-2</v>
      </c>
      <c r="AN31" s="23">
        <f t="shared" si="242"/>
        <v>5.2457355254756421E-2</v>
      </c>
      <c r="AO31" s="23">
        <f t="shared" si="242"/>
        <v>5.2923664183269256E-2</v>
      </c>
      <c r="AP31" s="23">
        <f t="shared" si="243"/>
        <v>5.902443449879221E-2</v>
      </c>
      <c r="AQ31" s="24"/>
      <c r="AR31" s="23">
        <f t="shared" ref="AR31:AW34" si="252">+DQ31/DI31</f>
        <v>4.5669011729311378E-2</v>
      </c>
      <c r="AS31" s="23">
        <f t="shared" si="252"/>
        <v>5.2160176292057395E-2</v>
      </c>
      <c r="AT31" s="23">
        <f t="shared" si="252"/>
        <v>5.1461370696105638E-2</v>
      </c>
      <c r="AU31" s="23">
        <f t="shared" si="252"/>
        <v>5.4904647128183076E-2</v>
      </c>
      <c r="AV31" s="23">
        <f t="shared" si="252"/>
        <v>6.1070923507964475E-2</v>
      </c>
      <c r="AW31" s="23">
        <f t="shared" si="252"/>
        <v>6.6773878621194022E-2</v>
      </c>
      <c r="AX31" s="23">
        <f t="shared" ref="AX31:AX35" si="253">+DW31/DO31</f>
        <v>7.2974106037133807E-2</v>
      </c>
      <c r="AY31" s="24"/>
      <c r="AZ31" s="23">
        <f t="shared" si="245"/>
        <v>2.1495664183269259E-2</v>
      </c>
      <c r="BA31" s="23">
        <f t="shared" si="246"/>
        <v>1.8271314555778868E-2</v>
      </c>
      <c r="BB31" s="6"/>
      <c r="BC31" s="25"/>
      <c r="BD31" s="25"/>
      <c r="BE31" s="25"/>
      <c r="BF31" s="26"/>
      <c r="BG31" s="25"/>
      <c r="BH31" s="26"/>
      <c r="BI31" s="25"/>
      <c r="BJ31" s="26"/>
      <c r="BK31" s="25"/>
      <c r="BL31" s="25"/>
      <c r="BM31" s="26"/>
      <c r="BN31" s="25"/>
      <c r="BO31" s="26"/>
      <c r="BP31" s="25"/>
      <c r="BQ31" s="26"/>
      <c r="BR31" s="25"/>
      <c r="BS31" s="26"/>
      <c r="BT31" s="25"/>
      <c r="BU31" s="33"/>
      <c r="BV31" s="25"/>
      <c r="BW31" s="40"/>
      <c r="BY31" s="48"/>
      <c r="BZ31" s="88"/>
      <c r="CA31" s="88"/>
      <c r="CB31" s="88"/>
      <c r="CD31" s="88"/>
      <c r="CE31" s="88"/>
      <c r="CF31" s="88"/>
      <c r="CH31" s="39"/>
      <c r="CI31" s="98">
        <v>9243.4940000000006</v>
      </c>
      <c r="CJ31" s="33">
        <v>6717.6809999999996</v>
      </c>
      <c r="CK31" s="33">
        <v>6956.0479999999998</v>
      </c>
      <c r="CL31" s="33">
        <v>7893.701</v>
      </c>
      <c r="CM31" s="33">
        <v>8555.6569999999992</v>
      </c>
      <c r="CN31" s="33">
        <v>8769.9699999999993</v>
      </c>
      <c r="CO31" s="33">
        <v>9373.1007599147761</v>
      </c>
      <c r="CP31" s="33">
        <v>9878.6180927072201</v>
      </c>
      <c r="CQ31" s="39"/>
      <c r="CR31" s="98">
        <v>600.76087500000006</v>
      </c>
      <c r="CS31" s="33">
        <v>563.95870724999997</v>
      </c>
      <c r="CT31" s="33">
        <v>564.59010149999995</v>
      </c>
      <c r="CU31" s="33">
        <v>565.13610225000002</v>
      </c>
      <c r="CV31" s="33">
        <v>597.84122024999999</v>
      </c>
      <c r="CW31" s="33">
        <v>598.70398349999994</v>
      </c>
      <c r="CX31" s="33">
        <v>600.76087500000006</v>
      </c>
      <c r="CY31" s="33">
        <v>600.76087500000006</v>
      </c>
      <c r="CZ31" s="39"/>
      <c r="DA31" s="33">
        <v>1878.9749999999999</v>
      </c>
      <c r="DB31" s="33">
        <v>1931.9690000000001</v>
      </c>
      <c r="DC31" s="33">
        <v>2491.384</v>
      </c>
      <c r="DD31" s="33">
        <v>1943.329</v>
      </c>
      <c r="DE31" s="33">
        <v>2018.174</v>
      </c>
      <c r="DF31" s="33">
        <v>2254.9348593870409</v>
      </c>
      <c r="DG31" s="33">
        <v>1945.4737845088023</v>
      </c>
      <c r="DH31" s="39"/>
      <c r="DI31" s="33">
        <v>17912.321047117497</v>
      </c>
      <c r="DJ31" s="33">
        <v>17965.315047117496</v>
      </c>
      <c r="DK31" s="33">
        <v>18524.730047117497</v>
      </c>
      <c r="DL31" s="33">
        <v>17976.675047117496</v>
      </c>
      <c r="DM31" s="326">
        <v>18051.520047117498</v>
      </c>
      <c r="DN31" s="326">
        <v>18288.280906504537</v>
      </c>
      <c r="DO31" s="326">
        <v>17978.819831626301</v>
      </c>
      <c r="DP31" s="39"/>
      <c r="DQ31" s="33">
        <v>818.03800000000001</v>
      </c>
      <c r="DR31" s="33">
        <v>937.07399999999996</v>
      </c>
      <c r="DS31" s="33">
        <v>953.30799999999999</v>
      </c>
      <c r="DT31" s="33">
        <v>987.00300000000004</v>
      </c>
      <c r="DU31" s="33">
        <v>1102.423</v>
      </c>
      <c r="DV31" s="33">
        <v>1221.1794494412341</v>
      </c>
      <c r="DW31" s="33">
        <v>1311.9883048156219</v>
      </c>
      <c r="DX31"/>
      <c r="DY31" s="33">
        <v>776.35400000000004</v>
      </c>
      <c r="DZ31" s="33">
        <v>789.15800000000002</v>
      </c>
      <c r="EA31" s="33">
        <v>808.93</v>
      </c>
      <c r="EB31" s="33">
        <v>825.51099999999997</v>
      </c>
      <c r="EC31" s="33">
        <v>946.93499999999995</v>
      </c>
      <c r="ED31" s="33">
        <v>967.88283718514117</v>
      </c>
      <c r="EE31" s="33">
        <v>1061.189673517413</v>
      </c>
      <c r="EG31" s="33">
        <v>466.30500000000001</v>
      </c>
      <c r="EH31" s="33">
        <v>519.91600000000005</v>
      </c>
      <c r="EI31" s="33">
        <v>461.60800000000012</v>
      </c>
      <c r="EJ31" s="33">
        <v>550.02099999999984</v>
      </c>
      <c r="EK31" s="33">
        <v>676.09500000000003</v>
      </c>
      <c r="EL31" s="33">
        <v>688.71453350855984</v>
      </c>
      <c r="EM31" s="33">
        <v>782.68579245664898</v>
      </c>
      <c r="EO31" s="33">
        <v>466.30500000000001</v>
      </c>
      <c r="EP31" s="33">
        <v>519.91600000000005</v>
      </c>
      <c r="EQ31" s="33">
        <v>461.60800000000012</v>
      </c>
      <c r="ER31" s="33">
        <v>550.02099999999984</v>
      </c>
      <c r="ES31" s="33">
        <v>676.09500000000003</v>
      </c>
      <c r="ET31" s="33">
        <v>688.71453350855984</v>
      </c>
      <c r="EU31" s="33">
        <v>782.68579245664898</v>
      </c>
      <c r="EW31" s="33">
        <v>174.9</v>
      </c>
      <c r="EX31" s="33">
        <v>225</v>
      </c>
      <c r="EY31" s="33">
        <v>95</v>
      </c>
      <c r="EZ31" s="33">
        <v>240</v>
      </c>
      <c r="FA31" s="33">
        <v>260</v>
      </c>
      <c r="FB31" s="33">
        <v>233.41249045353507</v>
      </c>
      <c r="FC31" s="33">
        <v>274.40893685135677</v>
      </c>
      <c r="FE31" s="52">
        <f t="shared" si="247"/>
        <v>1.376614972017528</v>
      </c>
      <c r="FF31" s="52">
        <f t="shared" si="247"/>
        <v>1.397753871177283</v>
      </c>
      <c r="FG31" s="52">
        <f t="shared" si="247"/>
        <v>1.4313897073277979</v>
      </c>
      <c r="FH31" s="52">
        <f t="shared" si="247"/>
        <v>1.3808198097394406</v>
      </c>
      <c r="FI31" s="52">
        <f t="shared" si="247"/>
        <v>1.5816413888951517</v>
      </c>
      <c r="FJ31" s="52">
        <f t="shared" si="247"/>
        <v>1.6110949921383297</v>
      </c>
      <c r="FK31" s="52">
        <f t="shared" si="247"/>
        <v>1.7664094279065907</v>
      </c>
      <c r="FM31" s="52">
        <f t="shared" si="248"/>
        <v>0.82684245141602086</v>
      </c>
      <c r="FN31" s="52">
        <f t="shared" si="248"/>
        <v>0.9208733887092424</v>
      </c>
      <c r="FO31" s="52">
        <f t="shared" si="248"/>
        <v>0.81680854959040994</v>
      </c>
      <c r="FP31" s="52">
        <f t="shared" si="248"/>
        <v>0.92001183821014698</v>
      </c>
      <c r="FQ31" s="52">
        <f t="shared" si="248"/>
        <v>1.1292642418170917</v>
      </c>
      <c r="FR31" s="52">
        <f t="shared" si="248"/>
        <v>1.1464037725635174</v>
      </c>
      <c r="FS31" s="52">
        <f t="shared" si="248"/>
        <v>1.3028241768518114</v>
      </c>
      <c r="FT31" s="361"/>
      <c r="FU31" s="361"/>
      <c r="FV31" s="52"/>
      <c r="FW31" s="52"/>
      <c r="FX31" s="52"/>
      <c r="FY31" s="52"/>
      <c r="FZ31" s="52"/>
      <c r="GA31" s="52"/>
      <c r="GB31" s="52"/>
      <c r="GC31" s="361"/>
      <c r="GD31" s="52">
        <f t="shared" si="249"/>
        <v>0.310129088799524</v>
      </c>
      <c r="GE31" s="52">
        <f t="shared" si="249"/>
        <v>0.39851920783276434</v>
      </c>
      <c r="GF31" s="52">
        <f t="shared" si="249"/>
        <v>0.1681010992250761</v>
      </c>
      <c r="GG31" s="52">
        <f t="shared" si="249"/>
        <v>0.40144438334251847</v>
      </c>
      <c r="GH31" s="52">
        <f t="shared" si="249"/>
        <v>0.4342713714381024</v>
      </c>
      <c r="GI31" s="52">
        <f t="shared" si="249"/>
        <v>0.38852811520646224</v>
      </c>
      <c r="GJ31" s="52">
        <f t="shared" si="249"/>
        <v>0.45676898791279769</v>
      </c>
      <c r="GL31" s="52">
        <f t="shared" si="250"/>
        <v>11.911654015871212</v>
      </c>
      <c r="GM31" s="52">
        <f t="shared" si="250"/>
        <v>12.320527727140821</v>
      </c>
      <c r="GN31" s="52">
        <f t="shared" si="250"/>
        <v>13.967787526885077</v>
      </c>
      <c r="GO31" s="52">
        <f t="shared" si="250"/>
        <v>14.310918535229588</v>
      </c>
      <c r="GP31" s="52">
        <f t="shared" si="250"/>
        <v>14.648257305273132</v>
      </c>
      <c r="GQ31" s="52">
        <f t="shared" si="250"/>
        <v>15.602049251151342</v>
      </c>
      <c r="GR31" s="52"/>
    </row>
    <row r="32" spans="1:200" ht="11.25" customHeight="1">
      <c r="A32" s="37">
        <f t="shared" si="251"/>
        <v>3.9908999999999999</v>
      </c>
      <c r="B32" s="64">
        <f t="shared" si="251"/>
        <v>3.1427999999999998E-2</v>
      </c>
      <c r="D32" s="19"/>
      <c r="E32" s="27" t="s">
        <v>131</v>
      </c>
      <c r="F32" s="27" t="s">
        <v>129</v>
      </c>
      <c r="G32" s="28">
        <f>+Bloomberg!F55</f>
        <v>49</v>
      </c>
      <c r="H32" s="29">
        <f>+(G32*CS32)/A32</f>
        <v>2161.1834729008492</v>
      </c>
      <c r="I32" s="29"/>
      <c r="J32" s="30">
        <f t="shared" si="237"/>
        <v>3.0976222703070117E-2</v>
      </c>
      <c r="K32" s="30">
        <f t="shared" si="237"/>
        <v>2.9594604537627557E-2</v>
      </c>
      <c r="L32" s="30">
        <f t="shared" si="237"/>
        <v>3.1216068798068576E-2</v>
      </c>
      <c r="M32" s="30">
        <f t="shared" si="237"/>
        <v>3.7254201260654742E-2</v>
      </c>
      <c r="N32" s="30">
        <f t="shared" si="237"/>
        <v>4.2363921241204798E-2</v>
      </c>
      <c r="O32" s="30">
        <f t="shared" si="237"/>
        <v>4.5315616055900627E-2</v>
      </c>
      <c r="P32" s="30">
        <f t="shared" si="237"/>
        <v>5.0557671388174796E-2</v>
      </c>
      <c r="Q32" s="31"/>
      <c r="R32" s="30">
        <f t="shared" si="238"/>
        <v>8.1876464265271381E-3</v>
      </c>
      <c r="S32" s="30">
        <f t="shared" si="238"/>
        <v>8.8410445794637575E-3</v>
      </c>
      <c r="T32" s="30"/>
      <c r="U32" s="30">
        <f t="shared" si="239"/>
        <v>6.9393972200535552E-3</v>
      </c>
      <c r="V32" s="30">
        <f t="shared" si="239"/>
        <v>1.38810529509547E-2</v>
      </c>
      <c r="W32" s="30">
        <f t="shared" si="239"/>
        <v>1.3889620494104114E-2</v>
      </c>
      <c r="X32" s="30">
        <f t="shared" si="239"/>
        <v>1.7361859745862608E-2</v>
      </c>
      <c r="Y32" s="30">
        <f t="shared" si="239"/>
        <v>1.6786350815477174E-2</v>
      </c>
      <c r="Z32" s="31"/>
      <c r="AA32" s="57" t="s">
        <v>9</v>
      </c>
      <c r="AB32" s="57" t="s">
        <v>9</v>
      </c>
      <c r="AC32" s="57" t="s">
        <v>9</v>
      </c>
      <c r="AD32" s="57" t="s">
        <v>9</v>
      </c>
      <c r="AE32" s="57" t="s">
        <v>9</v>
      </c>
      <c r="AF32" s="57" t="s">
        <v>9</v>
      </c>
      <c r="AG32" s="57" t="s">
        <v>9</v>
      </c>
      <c r="AH32" s="31"/>
      <c r="AI32" s="30">
        <f>+DY32/DI32</f>
        <v>4.3376918225973199E-2</v>
      </c>
      <c r="AJ32" s="31"/>
      <c r="AK32" s="30">
        <f t="shared" si="240"/>
        <v>4.6214271802502059E-2</v>
      </c>
      <c r="AL32" s="30">
        <f t="shared" si="240"/>
        <v>5.232448481457453E-2</v>
      </c>
      <c r="AM32" s="30">
        <f t="shared" si="241"/>
        <v>5.4687171234037317E-2</v>
      </c>
      <c r="AN32" s="30">
        <f t="shared" si="242"/>
        <v>5.6750811051113272E-2</v>
      </c>
      <c r="AO32" s="30">
        <f t="shared" si="242"/>
        <v>5.9843326210933009E-2</v>
      </c>
      <c r="AP32" s="30">
        <f t="shared" si="243"/>
        <v>6.5774379981180089E-2</v>
      </c>
      <c r="AQ32" s="31"/>
      <c r="AR32" s="30">
        <f t="shared" si="252"/>
        <v>5.0995319988771895E-2</v>
      </c>
      <c r="AS32" s="30">
        <f t="shared" si="252"/>
        <v>5.1555917921738179E-2</v>
      </c>
      <c r="AT32" s="30">
        <f t="shared" si="252"/>
        <v>5.8279263646772446E-2</v>
      </c>
      <c r="AU32" s="30">
        <f t="shared" si="252"/>
        <v>6.3034542836197346E-2</v>
      </c>
      <c r="AV32" s="30">
        <f t="shared" si="252"/>
        <v>6.5391891081944167E-2</v>
      </c>
      <c r="AW32" s="30">
        <f t="shared" si="252"/>
        <v>6.9758796489346173E-2</v>
      </c>
      <c r="AX32" s="30">
        <f t="shared" si="253"/>
        <v>7.6682035735467918E-2</v>
      </c>
      <c r="AY32" s="31"/>
      <c r="AZ32" s="30">
        <f t="shared" si="245"/>
        <v>2.8415326210933012E-2</v>
      </c>
      <c r="BA32" s="30">
        <f t="shared" si="246"/>
        <v>2.4153027279293058E-2</v>
      </c>
      <c r="BB32" s="19"/>
      <c r="BC32" s="25"/>
      <c r="BD32" s="18"/>
      <c r="BE32" s="25"/>
      <c r="BF32" s="32"/>
      <c r="BG32" s="25"/>
      <c r="BH32" s="32"/>
      <c r="BI32" s="25"/>
      <c r="BJ32" s="32"/>
      <c r="BK32" s="25"/>
      <c r="BL32" s="25"/>
      <c r="BM32" s="32"/>
      <c r="BN32" s="25"/>
      <c r="BO32" s="32"/>
      <c r="BP32" s="25"/>
      <c r="BQ32" s="32"/>
      <c r="BR32" s="25"/>
      <c r="BS32" s="32"/>
      <c r="BT32" s="25"/>
      <c r="BU32" s="34"/>
      <c r="BV32" s="25"/>
      <c r="BW32" s="41"/>
      <c r="BY32" s="48"/>
      <c r="BZ32" s="88"/>
      <c r="CA32" s="88"/>
      <c r="CB32" s="88"/>
      <c r="CC32" s="88"/>
      <c r="CD32" s="88"/>
      <c r="CE32" s="88"/>
      <c r="CF32" s="88"/>
      <c r="CG32" s="88"/>
      <c r="CH32" s="39"/>
      <c r="CI32" s="99">
        <v>5285.9620000000004</v>
      </c>
      <c r="CJ32" s="34">
        <v>4911.3440000000001</v>
      </c>
      <c r="CK32" s="34">
        <v>5057.55</v>
      </c>
      <c r="CL32" s="34">
        <v>5230.634</v>
      </c>
      <c r="CM32" s="34">
        <v>5062.8019999999997</v>
      </c>
      <c r="CN32" s="34">
        <v>5290.2030000000004</v>
      </c>
      <c r="CO32" s="34">
        <v>5427.9793067456812</v>
      </c>
      <c r="CP32" s="34">
        <v>5766.6137850500363</v>
      </c>
      <c r="CQ32" s="39"/>
      <c r="CR32" s="99">
        <v>176.340339</v>
      </c>
      <c r="CS32" s="34">
        <v>176.02177799999998</v>
      </c>
      <c r="CT32" s="34">
        <v>176.441428</v>
      </c>
      <c r="CU32" s="34">
        <v>176.45477800000003</v>
      </c>
      <c r="CV32" s="34">
        <v>176.42606799999999</v>
      </c>
      <c r="CW32" s="34">
        <v>176.31724299999999</v>
      </c>
      <c r="CX32" s="34">
        <v>176.31892750000003</v>
      </c>
      <c r="CY32" s="34">
        <v>176.340339</v>
      </c>
      <c r="CZ32" s="39"/>
      <c r="DA32" s="34">
        <v>1466.027</v>
      </c>
      <c r="DB32" s="34">
        <v>1806.828</v>
      </c>
      <c r="DC32" s="34">
        <v>1689.731</v>
      </c>
      <c r="DD32" s="34">
        <v>1611.5250000000001</v>
      </c>
      <c r="DE32" s="34">
        <v>1568.6859999999999</v>
      </c>
      <c r="DF32" s="34">
        <v>1367.7244698569441</v>
      </c>
      <c r="DG32" s="34">
        <v>990.5613363366931</v>
      </c>
      <c r="DH32" s="39"/>
      <c r="DI32" s="34">
        <v>9739.0505659999999</v>
      </c>
      <c r="DJ32" s="34">
        <v>10079.851565999999</v>
      </c>
      <c r="DK32" s="34">
        <v>9962.7545659999996</v>
      </c>
      <c r="DL32" s="34">
        <v>9884.5485659999995</v>
      </c>
      <c r="DM32" s="327">
        <v>9841.7095659999995</v>
      </c>
      <c r="DN32" s="327">
        <v>9640.7480358569446</v>
      </c>
      <c r="DO32" s="327">
        <v>9263.5849023366936</v>
      </c>
      <c r="DP32" s="39"/>
      <c r="DQ32" s="34">
        <v>496.64600000000002</v>
      </c>
      <c r="DR32" s="34">
        <v>519.67600000000004</v>
      </c>
      <c r="DS32" s="34">
        <v>580.62199999999996</v>
      </c>
      <c r="DT32" s="34">
        <v>623.06799999999998</v>
      </c>
      <c r="DU32" s="34">
        <v>643.56799999999998</v>
      </c>
      <c r="DV32" s="34">
        <v>672.52698023840844</v>
      </c>
      <c r="DW32" s="34">
        <v>710.35054851952339</v>
      </c>
      <c r="DX32"/>
      <c r="DY32" s="34">
        <v>422.45</v>
      </c>
      <c r="DZ32" s="34">
        <v>465.83300000000003</v>
      </c>
      <c r="EA32" s="34">
        <v>521.29600000000005</v>
      </c>
      <c r="EB32" s="34">
        <v>540.55799999999999</v>
      </c>
      <c r="EC32" s="34">
        <v>558.52499999999998</v>
      </c>
      <c r="ED32" s="34">
        <v>576.93442962719882</v>
      </c>
      <c r="EE32" s="34">
        <v>609.3065533542167</v>
      </c>
      <c r="EG32" s="34">
        <v>267.17200000000003</v>
      </c>
      <c r="EH32" s="34">
        <v>255.864</v>
      </c>
      <c r="EI32" s="34">
        <v>269.90300000000002</v>
      </c>
      <c r="EJ32" s="34">
        <v>322.05799999999999</v>
      </c>
      <c r="EK32" s="34">
        <v>366.005</v>
      </c>
      <c r="EL32" s="34">
        <v>391.51004027693079</v>
      </c>
      <c r="EM32" s="34">
        <v>436.85248867042583</v>
      </c>
      <c r="EO32" s="34">
        <v>267.17200000000003</v>
      </c>
      <c r="EP32" s="34">
        <v>255.864</v>
      </c>
      <c r="EQ32" s="34">
        <v>269.90300000000002</v>
      </c>
      <c r="ER32" s="34">
        <v>322.05799999999999</v>
      </c>
      <c r="ES32" s="34">
        <v>366.005</v>
      </c>
      <c r="ET32" s="34">
        <v>391.51004027693079</v>
      </c>
      <c r="EU32" s="34">
        <v>436.85248867042583</v>
      </c>
      <c r="EW32" s="34">
        <v>70.619</v>
      </c>
      <c r="EX32" s="34">
        <v>76.436400000000006</v>
      </c>
      <c r="EY32" s="34">
        <v>60</v>
      </c>
      <c r="EZ32" s="34">
        <v>120</v>
      </c>
      <c r="FA32" s="34">
        <v>120</v>
      </c>
      <c r="FB32" s="34">
        <v>150</v>
      </c>
      <c r="FC32" s="34">
        <v>145.04542887533438</v>
      </c>
      <c r="FE32" s="54">
        <f t="shared" si="247"/>
        <v>2.3999871197755995</v>
      </c>
      <c r="FF32" s="54">
        <f t="shared" si="247"/>
        <v>2.6401565963295197</v>
      </c>
      <c r="FG32" s="54">
        <f t="shared" si="247"/>
        <v>2.954275344133781</v>
      </c>
      <c r="FH32" s="54">
        <f t="shared" si="247"/>
        <v>3.0639349736003867</v>
      </c>
      <c r="FI32" s="54">
        <f t="shared" si="247"/>
        <v>3.1677276169750455</v>
      </c>
      <c r="FJ32" s="54">
        <f t="shared" si="247"/>
        <v>3.2721071855839114</v>
      </c>
      <c r="FK32" s="54">
        <f t="shared" si="247"/>
        <v>3.4552874107507341</v>
      </c>
      <c r="FL32" s="55"/>
      <c r="FM32" s="54">
        <f t="shared" si="248"/>
        <v>1.5178349124504358</v>
      </c>
      <c r="FN32" s="54">
        <f t="shared" si="248"/>
        <v>1.4501356223437503</v>
      </c>
      <c r="FO32" s="54">
        <f t="shared" si="248"/>
        <v>1.5295873711053602</v>
      </c>
      <c r="FP32" s="54">
        <f t="shared" si="248"/>
        <v>1.8254558617720824</v>
      </c>
      <c r="FQ32" s="54">
        <f t="shared" si="248"/>
        <v>2.0758321408190352</v>
      </c>
      <c r="FR32" s="54">
        <f t="shared" si="248"/>
        <v>2.2204651867391307</v>
      </c>
      <c r="FS32" s="54">
        <f t="shared" si="248"/>
        <v>2.477325898020565</v>
      </c>
      <c r="FT32" s="363"/>
      <c r="FU32" s="363"/>
      <c r="FV32" s="54"/>
      <c r="FW32" s="54"/>
      <c r="FX32" s="54"/>
      <c r="FY32" s="54"/>
      <c r="FZ32" s="54"/>
      <c r="GA32" s="54"/>
      <c r="GB32" s="54"/>
      <c r="GC32" s="363"/>
      <c r="GD32" s="54">
        <f t="shared" si="249"/>
        <v>0.40119467489982974</v>
      </c>
      <c r="GE32" s="54">
        <f t="shared" si="249"/>
        <v>0.43321118439372414</v>
      </c>
      <c r="GF32" s="54">
        <f t="shared" si="249"/>
        <v>0.34003046378262419</v>
      </c>
      <c r="GG32" s="54">
        <f t="shared" si="249"/>
        <v>0.68017159459678034</v>
      </c>
      <c r="GH32" s="54">
        <f t="shared" si="249"/>
        <v>0.68059140421110154</v>
      </c>
      <c r="GI32" s="54">
        <f t="shared" si="249"/>
        <v>0.85073112754726787</v>
      </c>
      <c r="GJ32" s="54">
        <f t="shared" si="249"/>
        <v>0.82253118995838148</v>
      </c>
      <c r="GK32" s="55"/>
      <c r="GL32" s="54">
        <f t="shared" si="250"/>
        <v>27.901911091933183</v>
      </c>
      <c r="GM32" s="54">
        <f t="shared" si="250"/>
        <v>28.664186508397563</v>
      </c>
      <c r="GN32" s="54">
        <f t="shared" si="250"/>
        <v>29.642915081619378</v>
      </c>
      <c r="GO32" s="54">
        <f t="shared" si="250"/>
        <v>28.696450912231406</v>
      </c>
      <c r="GP32" s="54">
        <f t="shared" si="250"/>
        <v>30.003889069431516</v>
      </c>
      <c r="GQ32" s="54">
        <f t="shared" si="250"/>
        <v>30.785006372873273</v>
      </c>
      <c r="GR32" s="54"/>
    </row>
    <row r="33" spans="1:200" ht="11.25" customHeight="1">
      <c r="A33" s="37">
        <f t="shared" si="251"/>
        <v>3.9908999999999999</v>
      </c>
      <c r="B33" s="64">
        <f t="shared" si="251"/>
        <v>3.1427999999999998E-2</v>
      </c>
      <c r="D33" s="6"/>
      <c r="E33" s="20" t="s">
        <v>132</v>
      </c>
      <c r="F33" s="20" t="s">
        <v>129</v>
      </c>
      <c r="G33" s="21">
        <f>+Bloomberg!F56</f>
        <v>27.75</v>
      </c>
      <c r="H33" s="22">
        <f>+(G33*CS33)/A33</f>
        <v>1655.4494080282643</v>
      </c>
      <c r="I33" s="22"/>
      <c r="J33" s="23">
        <f t="shared" si="237"/>
        <v>3.1405002637606726E-2</v>
      </c>
      <c r="K33" s="23">
        <f t="shared" si="237"/>
        <v>3.5226478464330968E-2</v>
      </c>
      <c r="L33" s="23">
        <f t="shared" si="237"/>
        <v>3.2758412651537075E-2</v>
      </c>
      <c r="M33" s="23">
        <f t="shared" si="237"/>
        <v>4.6164235407333998E-2</v>
      </c>
      <c r="N33" s="23">
        <f t="shared" si="237"/>
        <v>3.8476888548779273E-2</v>
      </c>
      <c r="O33" s="23">
        <f t="shared" si="237"/>
        <v>6.4260228960317481E-2</v>
      </c>
      <c r="P33" s="23">
        <f t="shared" si="237"/>
        <v>8.2953045406972056E-2</v>
      </c>
      <c r="Q33" s="24"/>
      <c r="R33" s="23">
        <f t="shared" si="238"/>
        <v>0</v>
      </c>
      <c r="S33" s="23">
        <f t="shared" si="238"/>
        <v>0</v>
      </c>
      <c r="T33" s="23"/>
      <c r="U33" s="23">
        <f t="shared" si="239"/>
        <v>0</v>
      </c>
      <c r="V33" s="23">
        <f t="shared" si="239"/>
        <v>0</v>
      </c>
      <c r="W33" s="23">
        <f t="shared" si="239"/>
        <v>0</v>
      </c>
      <c r="X33" s="23">
        <f t="shared" si="239"/>
        <v>1.606505724007937E-2</v>
      </c>
      <c r="Y33" s="23">
        <f t="shared" si="239"/>
        <v>4.0309327091010969E-2</v>
      </c>
      <c r="Z33" s="24"/>
      <c r="AA33" s="56" t="s">
        <v>9</v>
      </c>
      <c r="AB33" s="56" t="s">
        <v>9</v>
      </c>
      <c r="AC33" s="56" t="s">
        <v>9</v>
      </c>
      <c r="AD33" s="56" t="s">
        <v>9</v>
      </c>
      <c r="AE33" s="56" t="s">
        <v>9</v>
      </c>
      <c r="AF33" s="56" t="s">
        <v>9</v>
      </c>
      <c r="AG33" s="56" t="s">
        <v>9</v>
      </c>
      <c r="AH33" s="24"/>
      <c r="AI33" s="23">
        <f>+DY33/DI33</f>
        <v>5.2112981958689159E-2</v>
      </c>
      <c r="AJ33" s="24"/>
      <c r="AK33" s="23">
        <f t="shared" si="240"/>
        <v>5.5191647745741819E-2</v>
      </c>
      <c r="AL33" s="23">
        <f t="shared" si="240"/>
        <v>5.3559423038891406E-2</v>
      </c>
      <c r="AM33" s="23">
        <f t="shared" si="241"/>
        <v>5.6401216102326214E-2</v>
      </c>
      <c r="AN33" s="23">
        <f t="shared" si="242"/>
        <v>5.9038420422038447E-2</v>
      </c>
      <c r="AO33" s="23">
        <f t="shared" si="242"/>
        <v>6.2501915098687577E-2</v>
      </c>
      <c r="AP33" s="23">
        <f t="shared" si="243"/>
        <v>7.2040336742068375E-2</v>
      </c>
      <c r="AQ33" s="24"/>
      <c r="AR33" s="23">
        <f t="shared" si="252"/>
        <v>6.6340947508411796E-2</v>
      </c>
      <c r="AS33" s="23">
        <f t="shared" si="252"/>
        <v>5.9942610442141366E-2</v>
      </c>
      <c r="AT33" s="23">
        <f t="shared" si="252"/>
        <v>6.2816694254195352E-2</v>
      </c>
      <c r="AU33" s="23">
        <f t="shared" si="252"/>
        <v>6.5615226792302458E-2</v>
      </c>
      <c r="AV33" s="23">
        <f t="shared" si="252"/>
        <v>6.8888640417347866E-2</v>
      </c>
      <c r="AW33" s="23">
        <f t="shared" si="252"/>
        <v>7.2843141758605623E-2</v>
      </c>
      <c r="AX33" s="23">
        <f t="shared" si="253"/>
        <v>8.1730245834943774E-2</v>
      </c>
      <c r="AY33" s="24"/>
      <c r="AZ33" s="23">
        <f t="shared" si="245"/>
        <v>3.107391509868758E-2</v>
      </c>
      <c r="BA33" s="23">
        <f t="shared" si="246"/>
        <v>2.641282783388444E-2</v>
      </c>
      <c r="BB33" s="6"/>
      <c r="BC33" s="25"/>
      <c r="BD33" s="25"/>
      <c r="BE33" s="25"/>
      <c r="BF33" s="26"/>
      <c r="BG33" s="25"/>
      <c r="BH33" s="26"/>
      <c r="BI33" s="25"/>
      <c r="BJ33" s="26"/>
      <c r="BK33" s="25"/>
      <c r="BL33" s="25"/>
      <c r="BM33" s="26"/>
      <c r="BN33" s="25"/>
      <c r="BO33" s="26"/>
      <c r="BP33" s="25"/>
      <c r="BQ33" s="26"/>
      <c r="BR33" s="25"/>
      <c r="BS33" s="26"/>
      <c r="BT33" s="25"/>
      <c r="BU33" s="33"/>
      <c r="BV33" s="25"/>
      <c r="BW33" s="40"/>
      <c r="BY33" s="48"/>
      <c r="BZ33" s="88"/>
      <c r="CA33" s="88"/>
      <c r="CB33" s="88"/>
      <c r="CC33" s="88"/>
      <c r="CD33" s="313"/>
      <c r="CE33" s="88"/>
      <c r="CF33" s="88"/>
      <c r="CG33" s="88"/>
      <c r="CH33" s="39"/>
      <c r="CI33" s="98">
        <v>9328.489560187214</v>
      </c>
      <c r="CJ33" s="33">
        <v>7943.6293825065468</v>
      </c>
      <c r="CK33" s="33">
        <v>7759.441825581217</v>
      </c>
      <c r="CL33" s="33">
        <v>8545.1112126781863</v>
      </c>
      <c r="CM33" s="33">
        <v>9054.3596938257942</v>
      </c>
      <c r="CN33" s="33">
        <v>9125.2297291683299</v>
      </c>
      <c r="CO33" s="33">
        <v>9600.2335389786786</v>
      </c>
      <c r="CP33" s="33">
        <v>10165.403144818873</v>
      </c>
      <c r="CQ33" s="39"/>
      <c r="CR33" s="98">
        <v>238.08046999999999</v>
      </c>
      <c r="CS33" s="33">
        <v>238.08046999999999</v>
      </c>
      <c r="CT33" s="33">
        <v>238.08046999999999</v>
      </c>
      <c r="CU33" s="33">
        <v>238.08046999999999</v>
      </c>
      <c r="CV33" s="33">
        <v>238.08046999999999</v>
      </c>
      <c r="CW33" s="33">
        <v>238.08046999999999</v>
      </c>
      <c r="CX33" s="33">
        <v>238.08046999999999</v>
      </c>
      <c r="CY33" s="33">
        <v>238.08046999999999</v>
      </c>
      <c r="CZ33" s="39"/>
      <c r="DA33" s="33">
        <v>2216.9249302296653</v>
      </c>
      <c r="DB33" s="33">
        <v>2146.442727975073</v>
      </c>
      <c r="DC33" s="33">
        <v>1900.8209592465073</v>
      </c>
      <c r="DD33" s="33">
        <v>2088.9852997109633</v>
      </c>
      <c r="DE33" s="33">
        <v>1832.6010475935809</v>
      </c>
      <c r="DF33" s="33">
        <v>1869.6464822953938</v>
      </c>
      <c r="DG33" s="33">
        <v>1573.6063324014413</v>
      </c>
      <c r="DH33" s="39"/>
      <c r="DI33" s="33">
        <v>11411.592681629663</v>
      </c>
      <c r="DJ33" s="33">
        <v>11341.110479375071</v>
      </c>
      <c r="DK33" s="33">
        <v>11095.488710646507</v>
      </c>
      <c r="DL33" s="33">
        <v>11283.653051110961</v>
      </c>
      <c r="DM33" s="326">
        <v>11027.26879899358</v>
      </c>
      <c r="DN33" s="326">
        <v>11064.314233695392</v>
      </c>
      <c r="DO33" s="326">
        <v>10768.27408380144</v>
      </c>
      <c r="DP33" s="39"/>
      <c r="DQ33" s="33">
        <v>757.05587107936969</v>
      </c>
      <c r="DR33" s="33">
        <v>679.81576744646702</v>
      </c>
      <c r="DS33" s="33">
        <v>696.98192193755779</v>
      </c>
      <c r="DT33" s="33">
        <v>740.37945399430134</v>
      </c>
      <c r="DU33" s="33">
        <v>759.65355507930826</v>
      </c>
      <c r="DV33" s="33">
        <v>805.95941018683129</v>
      </c>
      <c r="DW33" s="33">
        <v>880.09368808714567</v>
      </c>
      <c r="DX33"/>
      <c r="DY33" s="33">
        <v>594.69212353767591</v>
      </c>
      <c r="DZ33" s="33">
        <v>625.9345746232101</v>
      </c>
      <c r="EA33" s="33">
        <v>594.26797367675999</v>
      </c>
      <c r="EB33" s="33">
        <v>636.41175415938187</v>
      </c>
      <c r="EC33" s="33">
        <v>651.03253146180998</v>
      </c>
      <c r="ED33" s="33">
        <v>691.54082885962987</v>
      </c>
      <c r="EE33" s="33">
        <v>775.75009112794351</v>
      </c>
      <c r="EG33" s="33">
        <v>207.48446862567599</v>
      </c>
      <c r="EH33" s="33">
        <v>232.73193924121006</v>
      </c>
      <c r="EI33" s="33">
        <v>216.42608728476</v>
      </c>
      <c r="EJ33" s="33">
        <v>304.99477944738197</v>
      </c>
      <c r="EK33" s="33">
        <v>254.20653094780991</v>
      </c>
      <c r="EL33" s="33">
        <v>424.55017799074494</v>
      </c>
      <c r="EM33" s="33">
        <v>548.04862606624511</v>
      </c>
      <c r="EO33" s="33">
        <v>207.48446862567599</v>
      </c>
      <c r="EP33" s="33">
        <v>232.73193924121006</v>
      </c>
      <c r="EQ33" s="33">
        <v>216.42608728476</v>
      </c>
      <c r="ER33" s="33">
        <v>304.99477944738197</v>
      </c>
      <c r="ES33" s="33">
        <v>254.20653094780991</v>
      </c>
      <c r="ET33" s="33">
        <v>424.55017799074494</v>
      </c>
      <c r="EU33" s="33">
        <v>548.04862606624511</v>
      </c>
      <c r="EW33" s="33">
        <v>0</v>
      </c>
      <c r="EX33" s="33">
        <v>0</v>
      </c>
      <c r="EY33" s="33">
        <v>0</v>
      </c>
      <c r="EZ33" s="33">
        <v>0</v>
      </c>
      <c r="FA33" s="33">
        <v>0</v>
      </c>
      <c r="FB33" s="33">
        <v>106.13754449768624</v>
      </c>
      <c r="FC33" s="33">
        <v>266.31296321312254</v>
      </c>
      <c r="FE33" s="52">
        <f t="shared" si="247"/>
        <v>2.497861851237424</v>
      </c>
      <c r="FF33" s="52">
        <f t="shared" si="247"/>
        <v>2.6290882852474633</v>
      </c>
      <c r="FG33" s="52">
        <f t="shared" si="247"/>
        <v>2.496080311319782</v>
      </c>
      <c r="FH33" s="52">
        <f t="shared" si="247"/>
        <v>2.6730951688703484</v>
      </c>
      <c r="FI33" s="52">
        <f t="shared" si="247"/>
        <v>2.7345062426238069</v>
      </c>
      <c r="FJ33" s="52">
        <f t="shared" si="247"/>
        <v>2.9046516451333866</v>
      </c>
      <c r="FK33" s="52">
        <f t="shared" si="247"/>
        <v>3.2583524853086168</v>
      </c>
      <c r="FM33" s="52">
        <f t="shared" si="248"/>
        <v>0.87148882319358656</v>
      </c>
      <c r="FN33" s="52">
        <f t="shared" si="248"/>
        <v>0.97753477738518435</v>
      </c>
      <c r="FO33" s="52">
        <f t="shared" si="248"/>
        <v>0.90904595108015374</v>
      </c>
      <c r="FP33" s="52">
        <f t="shared" si="248"/>
        <v>1.2810575325535185</v>
      </c>
      <c r="FQ33" s="52">
        <f t="shared" si="248"/>
        <v>1.0677336572286249</v>
      </c>
      <c r="FR33" s="52">
        <f t="shared" si="248"/>
        <v>1.7832213536488102</v>
      </c>
      <c r="FS33" s="52">
        <f t="shared" si="248"/>
        <v>2.3019470100434747</v>
      </c>
      <c r="FT33" s="361"/>
      <c r="FU33" s="361"/>
      <c r="FV33" s="52"/>
      <c r="FW33" s="52"/>
      <c r="FX33" s="52"/>
      <c r="FY33" s="52"/>
      <c r="FZ33" s="52"/>
      <c r="GA33" s="52"/>
      <c r="GB33" s="52"/>
      <c r="GC33" s="361"/>
      <c r="GD33" s="52">
        <f t="shared" si="249"/>
        <v>0</v>
      </c>
      <c r="GE33" s="52">
        <f t="shared" si="249"/>
        <v>0</v>
      </c>
      <c r="GF33" s="52">
        <f t="shared" si="249"/>
        <v>0</v>
      </c>
      <c r="GG33" s="52">
        <f t="shared" si="249"/>
        <v>0</v>
      </c>
      <c r="GH33" s="52">
        <f t="shared" si="249"/>
        <v>0</v>
      </c>
      <c r="GI33" s="52">
        <f t="shared" si="249"/>
        <v>0.44580533841220255</v>
      </c>
      <c r="GJ33" s="52">
        <f t="shared" si="249"/>
        <v>1.1185838267755543</v>
      </c>
      <c r="GL33" s="52">
        <f t="shared" si="250"/>
        <v>33.365312923426885</v>
      </c>
      <c r="GM33" s="52">
        <f t="shared" si="250"/>
        <v>32.591677198811048</v>
      </c>
      <c r="GN33" s="52">
        <f t="shared" si="250"/>
        <v>35.891693311417718</v>
      </c>
      <c r="GO33" s="52">
        <f t="shared" si="250"/>
        <v>38.030669604381217</v>
      </c>
      <c r="GP33" s="52">
        <f t="shared" si="250"/>
        <v>38.328342216261291</v>
      </c>
      <c r="GQ33" s="52">
        <f t="shared" si="250"/>
        <v>40.323481968003001</v>
      </c>
      <c r="GR33" s="52"/>
    </row>
    <row r="34" spans="1:200" ht="11.25" customHeight="1">
      <c r="A34" s="105">
        <f>+Bloomberg!D10</f>
        <v>740.75</v>
      </c>
      <c r="B34" s="106">
        <f>+Bloomberg!D18/100</f>
        <v>3.2800000000000003E-2</v>
      </c>
      <c r="D34" s="19"/>
      <c r="E34" s="27" t="s">
        <v>133</v>
      </c>
      <c r="F34" s="27" t="s">
        <v>5</v>
      </c>
      <c r="G34" s="27">
        <f>+Bloomberg!F57</f>
        <v>1950</v>
      </c>
      <c r="H34" s="29">
        <f>+(G34*CS34)/A34</f>
        <v>2121.1258206252655</v>
      </c>
      <c r="I34" s="29"/>
      <c r="J34" s="30">
        <f t="shared" si="237"/>
        <v>3.4286098391115141E-2</v>
      </c>
      <c r="K34" s="30">
        <f t="shared" si="237"/>
        <v>3.8529205971939158E-2</v>
      </c>
      <c r="L34" s="30">
        <f t="shared" si="237"/>
        <v>3.5742902256241951E-2</v>
      </c>
      <c r="M34" s="30">
        <f t="shared" si="237"/>
        <v>4.3081074037871307E-2</v>
      </c>
      <c r="N34" s="30">
        <f t="shared" si="237"/>
        <v>4.5463468516736563E-2</v>
      </c>
      <c r="O34" s="30">
        <f t="shared" si="237"/>
        <v>5.1386818466241033E-2</v>
      </c>
      <c r="P34" s="30">
        <f t="shared" si="237"/>
        <v>5.5682151523713294E-2</v>
      </c>
      <c r="Q34" s="31"/>
      <c r="R34" s="30">
        <f t="shared" si="238"/>
        <v>8.5715245977787853E-3</v>
      </c>
      <c r="S34" s="30">
        <f t="shared" si="238"/>
        <v>9.6323014929847895E-3</v>
      </c>
      <c r="T34" s="30"/>
      <c r="U34" s="30">
        <f t="shared" si="239"/>
        <v>8.9357255640604878E-3</v>
      </c>
      <c r="V34" s="30">
        <f t="shared" si="239"/>
        <v>1.0770268509467827E-2</v>
      </c>
      <c r="W34" s="30">
        <f t="shared" si="239"/>
        <v>1.1365867129184141E-2</v>
      </c>
      <c r="X34" s="30">
        <f t="shared" si="239"/>
        <v>2.5693409233120516E-2</v>
      </c>
      <c r="Y34" s="30">
        <f t="shared" si="239"/>
        <v>3.4336637796493895E-2</v>
      </c>
      <c r="Z34" s="31"/>
      <c r="AA34" s="57" t="s">
        <v>9</v>
      </c>
      <c r="AB34" s="57" t="s">
        <v>9</v>
      </c>
      <c r="AC34" s="57" t="s">
        <v>9</v>
      </c>
      <c r="AD34" s="57" t="s">
        <v>9</v>
      </c>
      <c r="AE34" s="57" t="s">
        <v>9</v>
      </c>
      <c r="AF34" s="57" t="s">
        <v>9</v>
      </c>
      <c r="AG34" s="57" t="s">
        <v>9</v>
      </c>
      <c r="AH34" s="31"/>
      <c r="AI34" s="30">
        <f>+DY34/DI34</f>
        <v>3.7395275378969493E-2</v>
      </c>
      <c r="AJ34" s="31"/>
      <c r="AK34" s="30">
        <f t="shared" si="240"/>
        <v>3.9594609703738105E-2</v>
      </c>
      <c r="AL34" s="30">
        <f t="shared" si="240"/>
        <v>3.9252148815535022E-2</v>
      </c>
      <c r="AM34" s="30">
        <f t="shared" si="241"/>
        <v>4.4826952693436672E-2</v>
      </c>
      <c r="AN34" s="30">
        <f t="shared" si="242"/>
        <v>4.8863792858310849E-2</v>
      </c>
      <c r="AO34" s="30">
        <f t="shared" si="242"/>
        <v>5.4073192659076258E-2</v>
      </c>
      <c r="AP34" s="30">
        <f t="shared" si="243"/>
        <v>5.7011203857417911E-2</v>
      </c>
      <c r="AQ34" s="31"/>
      <c r="AR34" s="30">
        <f t="shared" si="252"/>
        <v>3.7749394594981625E-2</v>
      </c>
      <c r="AS34" s="30">
        <f t="shared" si="252"/>
        <v>4.2701467871633807E-2</v>
      </c>
      <c r="AT34" s="30">
        <f t="shared" si="252"/>
        <v>4.1576920145186866E-2</v>
      </c>
      <c r="AU34" s="30">
        <f t="shared" si="252"/>
        <v>4.6840872318066017E-2</v>
      </c>
      <c r="AV34" s="30">
        <f t="shared" si="252"/>
        <v>5.0667848874091481E-2</v>
      </c>
      <c r="AW34" s="30">
        <f t="shared" si="252"/>
        <v>5.557341743698873E-2</v>
      </c>
      <c r="AX34" s="30">
        <f t="shared" si="253"/>
        <v>5.8227096680832556E-2</v>
      </c>
      <c r="AY34" s="31"/>
      <c r="AZ34" s="30">
        <f t="shared" si="245"/>
        <v>2.1273192659076255E-2</v>
      </c>
      <c r="BA34" s="30">
        <f t="shared" si="246"/>
        <v>1.8082213760214818E-2</v>
      </c>
      <c r="BB34" s="19"/>
      <c r="BC34" s="25"/>
      <c r="BD34" s="18"/>
      <c r="BE34" s="25"/>
      <c r="BF34" s="32"/>
      <c r="BG34" s="25"/>
      <c r="BH34" s="32"/>
      <c r="BI34" s="25"/>
      <c r="BJ34" s="32"/>
      <c r="BK34" s="25"/>
      <c r="BL34" s="25"/>
      <c r="BM34" s="32"/>
      <c r="BN34" s="25"/>
      <c r="BO34" s="32"/>
      <c r="BP34" s="25"/>
      <c r="BQ34" s="32"/>
      <c r="BR34" s="25"/>
      <c r="BS34" s="32"/>
      <c r="BT34" s="25"/>
      <c r="BU34" s="34"/>
      <c r="BV34" s="25"/>
      <c r="BW34" s="41"/>
      <c r="BY34" s="48"/>
      <c r="BZ34" s="88"/>
      <c r="CA34" s="88"/>
      <c r="CB34" s="88"/>
      <c r="CC34" s="88"/>
      <c r="CD34" s="88"/>
      <c r="CE34" s="88"/>
      <c r="CF34" s="88"/>
      <c r="CG34" s="359"/>
      <c r="CH34" s="39"/>
      <c r="CI34" s="99">
        <v>2437.4270000000001</v>
      </c>
      <c r="CJ34" s="34">
        <v>1413.757605</v>
      </c>
      <c r="CK34" s="34">
        <v>1671.9392350000001</v>
      </c>
      <c r="CL34" s="34">
        <v>1959.0202690000003</v>
      </c>
      <c r="CM34" s="34">
        <v>2078.574188</v>
      </c>
      <c r="CN34" s="34">
        <v>2378.099573</v>
      </c>
      <c r="CO34" s="34">
        <v>2412.1540543632887</v>
      </c>
      <c r="CP34" s="34">
        <v>2469.3489412661902</v>
      </c>
      <c r="CQ34" s="39"/>
      <c r="CR34" s="34"/>
      <c r="CS34" s="34">
        <v>805.75587262982833</v>
      </c>
      <c r="CT34" s="34">
        <v>817.65838174999999</v>
      </c>
      <c r="CU34" s="34">
        <v>892.32346125000004</v>
      </c>
      <c r="CV34" s="34">
        <v>893.91967</v>
      </c>
      <c r="CW34" s="34">
        <v>893.91967</v>
      </c>
      <c r="CX34" s="34">
        <v>893.91967</v>
      </c>
      <c r="CY34" s="34">
        <v>893.91967</v>
      </c>
      <c r="CZ34" s="39"/>
      <c r="DA34" s="34">
        <v>581578.40599999996</v>
      </c>
      <c r="DB34" s="34">
        <v>764108.78800000006</v>
      </c>
      <c r="DC34" s="34">
        <v>884311.81800000009</v>
      </c>
      <c r="DD34" s="34">
        <v>995434.38800000004</v>
      </c>
      <c r="DE34" s="34">
        <v>1051217.4127587802</v>
      </c>
      <c r="DF34" s="34">
        <v>1070138.0350447935</v>
      </c>
      <c r="DG34" s="34">
        <v>1090013.5604827378</v>
      </c>
      <c r="DH34" s="39"/>
      <c r="DI34" s="34">
        <f>+(CS34*G34)+DA34</f>
        <v>2152802.3576281653</v>
      </c>
      <c r="DJ34" s="34">
        <f>+(CT34*G34)+DB34</f>
        <v>2358542.6324125002</v>
      </c>
      <c r="DK34" s="34">
        <f>+(CU34*G34)+DC34</f>
        <v>2624342.5674375002</v>
      </c>
      <c r="DL34" s="34">
        <f>+(CV34*G34)+DD34</f>
        <v>2738577.7445</v>
      </c>
      <c r="DM34" s="327">
        <f t="shared" ref="DM34:DO34" si="254">+(CW34*$G34)+DE34</f>
        <v>2794360.7692587804</v>
      </c>
      <c r="DN34" s="327">
        <f t="shared" si="254"/>
        <v>2813281.3915447937</v>
      </c>
      <c r="DO34" s="327">
        <f t="shared" si="254"/>
        <v>2833156.9169827378</v>
      </c>
      <c r="DP34" s="39"/>
      <c r="DQ34" s="34">
        <v>81266.985683112362</v>
      </c>
      <c r="DR34" s="34">
        <v>100713.232441841</v>
      </c>
      <c r="DS34" s="34">
        <v>109112.08135996363</v>
      </c>
      <c r="DT34" s="34">
        <v>128277.37046322171</v>
      </c>
      <c r="DU34" s="34">
        <v>141584.2491564939</v>
      </c>
      <c r="DV34" s="34">
        <v>156343.66114003136</v>
      </c>
      <c r="DW34" s="34">
        <v>164966.50171712338</v>
      </c>
      <c r="DX34"/>
      <c r="DY34" s="34">
        <v>80504.637000000002</v>
      </c>
      <c r="DZ34" s="34">
        <v>93385.574999999997</v>
      </c>
      <c r="EA34" s="34">
        <v>103011.08500000001</v>
      </c>
      <c r="EB34" s="34">
        <v>122762.095</v>
      </c>
      <c r="EC34" s="34">
        <v>136543.06580045121</v>
      </c>
      <c r="ED34" s="34">
        <v>152123.10668919579</v>
      </c>
      <c r="EE34" s="34">
        <v>161521.68655415651</v>
      </c>
      <c r="EG34" s="34">
        <v>53871.139000000003</v>
      </c>
      <c r="EH34" s="34">
        <v>61432.270000000004</v>
      </c>
      <c r="EI34" s="34">
        <v>62193.748999999996</v>
      </c>
      <c r="EJ34" s="34">
        <v>75096.487999999998</v>
      </c>
      <c r="EK34" s="34">
        <v>79249.34310839625</v>
      </c>
      <c r="EL34" s="34">
        <v>89574.591221099574</v>
      </c>
      <c r="EM34" s="34">
        <v>97061.972504187186</v>
      </c>
      <c r="EO34" s="34">
        <v>53871.139000000003</v>
      </c>
      <c r="EP34" s="34">
        <v>61432.270000000004</v>
      </c>
      <c r="EQ34" s="34">
        <v>62193.748999999996</v>
      </c>
      <c r="ER34" s="34">
        <v>75096.487999999998</v>
      </c>
      <c r="ES34" s="34">
        <v>79249.34310839625</v>
      </c>
      <c r="ET34" s="34">
        <v>89574.591221099574</v>
      </c>
      <c r="EU34" s="34">
        <v>97061.972504187186</v>
      </c>
      <c r="EW34" s="34">
        <v>13467.784750000001</v>
      </c>
      <c r="EX34" s="34">
        <v>15358.067500000001</v>
      </c>
      <c r="EY34" s="34">
        <v>15548.437249999999</v>
      </c>
      <c r="EZ34" s="34">
        <v>18774.121999999999</v>
      </c>
      <c r="FA34" s="34">
        <v>19812.335777099062</v>
      </c>
      <c r="FB34" s="34">
        <v>44787.295610549787</v>
      </c>
      <c r="FC34" s="34">
        <v>59853.682059505132</v>
      </c>
      <c r="FE34" s="54">
        <f>+DY34/CS34</f>
        <v>99.911945707883874</v>
      </c>
      <c r="FF34" s="54">
        <f t="shared" si="247"/>
        <v>114.21099212623585</v>
      </c>
      <c r="FG34" s="54">
        <f t="shared" si="247"/>
        <v>115.44141723641137</v>
      </c>
      <c r="FH34" s="54">
        <f t="shared" si="247"/>
        <v>137.33011938309849</v>
      </c>
      <c r="FI34" s="54">
        <f t="shared" si="247"/>
        <v>152.74646076470296</v>
      </c>
      <c r="FJ34" s="54">
        <f t="shared" si="247"/>
        <v>170.17536563346434</v>
      </c>
      <c r="FK34" s="54">
        <f t="shared" si="247"/>
        <v>180.68926322446458</v>
      </c>
      <c r="FL34" s="55"/>
      <c r="FM34" s="54">
        <f t="shared" si="248"/>
        <v>66.857891862674521</v>
      </c>
      <c r="FN34" s="54">
        <f t="shared" si="248"/>
        <v>75.131951645281362</v>
      </c>
      <c r="FO34" s="54">
        <f t="shared" si="248"/>
        <v>69.698659399671811</v>
      </c>
      <c r="FP34" s="54">
        <f t="shared" si="248"/>
        <v>84.008094373849048</v>
      </c>
      <c r="FQ34" s="54">
        <f t="shared" si="248"/>
        <v>88.653763607636293</v>
      </c>
      <c r="FR34" s="54">
        <f t="shared" si="248"/>
        <v>100.20429600917001</v>
      </c>
      <c r="FS34" s="54">
        <f t="shared" si="248"/>
        <v>108.58019547124093</v>
      </c>
      <c r="FT34" s="363"/>
      <c r="FU34" s="363"/>
      <c r="FV34" s="54"/>
      <c r="FW34" s="54"/>
      <c r="FX34" s="54"/>
      <c r="FY34" s="54"/>
      <c r="FZ34" s="54"/>
      <c r="GA34" s="54"/>
      <c r="GB34" s="54"/>
      <c r="GC34" s="363"/>
      <c r="GD34" s="54">
        <f t="shared" si="249"/>
        <v>16.71447296566863</v>
      </c>
      <c r="GE34" s="54">
        <f t="shared" si="249"/>
        <v>18.78298791132034</v>
      </c>
      <c r="GF34" s="54">
        <f t="shared" si="249"/>
        <v>17.424664849917953</v>
      </c>
      <c r="GG34" s="54">
        <f t="shared" si="249"/>
        <v>21.002023593462262</v>
      </c>
      <c r="GH34" s="54">
        <f t="shared" si="249"/>
        <v>22.163440901909073</v>
      </c>
      <c r="GI34" s="54">
        <f t="shared" si="249"/>
        <v>50.102148004585004</v>
      </c>
      <c r="GJ34" s="54">
        <f t="shared" si="249"/>
        <v>66.956443703163089</v>
      </c>
      <c r="GK34" s="55"/>
      <c r="GL34" s="54">
        <f t="shared" si="250"/>
        <v>1.7545731319162141</v>
      </c>
      <c r="GM34" s="54">
        <f t="shared" si="250"/>
        <v>2.044789452804995</v>
      </c>
      <c r="GN34" s="54">
        <f t="shared" si="250"/>
        <v>2.1954149521696218</v>
      </c>
      <c r="GO34" s="54">
        <f t="shared" si="250"/>
        <v>2.3252359890458614</v>
      </c>
      <c r="GP34" s="54">
        <f t="shared" si="250"/>
        <v>2.6603056771309217</v>
      </c>
      <c r="GQ34" s="54">
        <f t="shared" si="250"/>
        <v>2.6984013612356117</v>
      </c>
      <c r="GR34" s="54"/>
    </row>
    <row r="35" spans="1:200" ht="11.25" customHeight="1">
      <c r="A35" s="105">
        <f>+Bloomberg!D11</f>
        <v>59.7288</v>
      </c>
      <c r="B35" s="106">
        <f>+Bloomberg!D19/100</f>
        <v>0.45852999999999999</v>
      </c>
      <c r="D35" s="19"/>
      <c r="E35" s="20" t="s">
        <v>323</v>
      </c>
      <c r="F35" s="20" t="s">
        <v>5</v>
      </c>
      <c r="G35" s="21">
        <f>+Bloomberg!F58</f>
        <v>11.06</v>
      </c>
      <c r="H35" s="22">
        <f>+(G35*(CS35/4))</f>
        <v>348.42885046200001</v>
      </c>
      <c r="I35" s="22"/>
      <c r="J35" s="23">
        <f>+FM35/$G35</f>
        <v>0</v>
      </c>
      <c r="K35" s="334">
        <f>+(FN35*$CT$35)/($H$35*$A$35)</f>
        <v>3.5791336938821784E-2</v>
      </c>
      <c r="L35" s="23">
        <f>+(FO35*$CU$35)/($H$35*$A$35)</f>
        <v>4.8454399611955162E-2</v>
      </c>
      <c r="M35" s="23">
        <f>+(FP35*$CV$35)/($H$35*$A$35)</f>
        <v>7.6357690346410254E-2</v>
      </c>
      <c r="N35" s="23">
        <f>+(FQ35*$CW$35)/($H$35*$A$35)</f>
        <v>0.16817360636634976</v>
      </c>
      <c r="O35" s="23">
        <f>+(FR35*$CW$35)/($H$35*$A$35)</f>
        <v>-0.12056482051741142</v>
      </c>
      <c r="P35" s="23">
        <f>+(FS35*$CW$35)/($H$35*$A$35)</f>
        <v>0.1664077233199836</v>
      </c>
      <c r="Q35" s="24"/>
      <c r="R35" s="23">
        <f>+GD35/$G35</f>
        <v>0</v>
      </c>
      <c r="S35" s="334">
        <f>+(GE35*$CT$35)/($H$35*$A$35)</f>
        <v>2.1007544981881638E-2</v>
      </c>
      <c r="T35" s="23"/>
      <c r="U35" s="23">
        <f>+(GF35*$CU$35)/($H$35*$A$35)</f>
        <v>1.3626309253865853E-2</v>
      </c>
      <c r="V35" s="23">
        <f>+(GG35*$CV$35)/($H$35*$A$35)</f>
        <v>3.6999242064829178E-2</v>
      </c>
      <c r="W35" s="23">
        <f>+(GH35*$CW$35)/($H$35*$A$35)</f>
        <v>3.2674655329979013E-2</v>
      </c>
      <c r="X35" s="23">
        <f>+(GI35*$CW$35)/($H$35*$A$35)</f>
        <v>2.6187775227703769E-2</v>
      </c>
      <c r="Y35" s="23">
        <f>+(GJ35*$CW$35)/($H$35*$A$35)</f>
        <v>2.6187775227703769E-2</v>
      </c>
      <c r="Z35" s="24"/>
      <c r="AA35" s="56" t="s">
        <v>9</v>
      </c>
      <c r="AB35" s="56" t="s">
        <v>9</v>
      </c>
      <c r="AC35" s="56" t="s">
        <v>9</v>
      </c>
      <c r="AD35" s="56" t="s">
        <v>9</v>
      </c>
      <c r="AE35" s="56" t="s">
        <v>9</v>
      </c>
      <c r="AF35" s="56" t="s">
        <v>9</v>
      </c>
      <c r="AG35" s="56" t="s">
        <v>9</v>
      </c>
      <c r="AH35" s="24"/>
      <c r="AI35" s="23">
        <f>+AK35</f>
        <v>7.7307581307242884E-2</v>
      </c>
      <c r="AJ35" s="24"/>
      <c r="AK35" s="23">
        <f t="shared" si="240"/>
        <v>7.7307581307242884E-2</v>
      </c>
      <c r="AL35" s="23">
        <f t="shared" si="240"/>
        <v>0.10221697407842797</v>
      </c>
      <c r="AM35" s="23">
        <f t="shared" si="241"/>
        <v>0.12912129851730464</v>
      </c>
      <c r="AN35" s="23">
        <f t="shared" si="242"/>
        <v>0.12903190180343438</v>
      </c>
      <c r="AO35" s="23">
        <f t="shared" si="242"/>
        <v>0.13106494535564794</v>
      </c>
      <c r="AP35" s="23">
        <f>+EE35/DO35</f>
        <v>0.20113255987838372</v>
      </c>
      <c r="AQ35" s="24"/>
      <c r="AR35" s="23">
        <f>+AS35</f>
        <v>7.7307581307242884E-2</v>
      </c>
      <c r="AS35" s="23">
        <f>+DR35/DJ35</f>
        <v>7.7307581307242884E-2</v>
      </c>
      <c r="AT35" s="23">
        <f>+DS35/DK35</f>
        <v>0.10221697407842797</v>
      </c>
      <c r="AU35" s="23">
        <f>+DT35/DL35</f>
        <v>0.12912129851730464</v>
      </c>
      <c r="AV35" s="23">
        <f>+DU35/DM35</f>
        <v>0.12903190180343438</v>
      </c>
      <c r="AW35" s="23">
        <f>+DV35/DN35</f>
        <v>0.15809059544284737</v>
      </c>
      <c r="AX35" s="23">
        <f t="shared" si="253"/>
        <v>0.24038427881689012</v>
      </c>
      <c r="AY35" s="24"/>
      <c r="AZ35" s="23">
        <f t="shared" si="245"/>
        <v>-0.32746505464435205</v>
      </c>
      <c r="BA35" s="23">
        <f t="shared" si="246"/>
        <v>-0.27834529644769923</v>
      </c>
      <c r="BB35" s="6"/>
      <c r="BC35" s="25"/>
      <c r="BD35" s="25"/>
      <c r="BE35" s="25"/>
      <c r="BF35" s="26"/>
      <c r="BG35" s="25"/>
      <c r="BH35" s="26"/>
      <c r="BI35" s="25"/>
      <c r="BJ35" s="26"/>
      <c r="BK35" s="25"/>
      <c r="BL35" s="25"/>
      <c r="BM35" s="26"/>
      <c r="BN35" s="25"/>
      <c r="BO35" s="26"/>
      <c r="BP35" s="25"/>
      <c r="BQ35" s="26"/>
      <c r="BR35" s="25"/>
      <c r="BS35" s="26"/>
      <c r="BT35" s="25"/>
      <c r="BU35" s="33"/>
      <c r="BV35" s="25"/>
      <c r="BW35" s="40"/>
      <c r="BY35" s="48"/>
      <c r="BZ35" s="88"/>
      <c r="CA35" s="88"/>
      <c r="CB35" s="88"/>
      <c r="CC35" s="88"/>
      <c r="CD35" s="88"/>
      <c r="CE35" s="88"/>
      <c r="CF35" s="88"/>
      <c r="CG35" s="88"/>
      <c r="CH35" s="39"/>
      <c r="CI35" s="99"/>
      <c r="CJ35" s="34">
        <v>6272.9690000000001</v>
      </c>
      <c r="CK35" s="34">
        <v>8116.9170000000004</v>
      </c>
      <c r="CL35" s="34">
        <v>19654.616999999998</v>
      </c>
      <c r="CM35" s="34">
        <v>22145.079000000002</v>
      </c>
      <c r="CN35" s="34">
        <v>37410.369999999995</v>
      </c>
      <c r="CO35" s="34">
        <v>48590.467030463005</v>
      </c>
      <c r="CP35" s="34">
        <v>56978.661631752737</v>
      </c>
      <c r="CQ35" s="39"/>
      <c r="CR35" s="34"/>
      <c r="CS35" s="34">
        <v>126.01405079999999</v>
      </c>
      <c r="CT35" s="34">
        <v>126.01405079999999</v>
      </c>
      <c r="CU35" s="34">
        <v>126.01405079999999</v>
      </c>
      <c r="CV35" s="34">
        <v>126.014005</v>
      </c>
      <c r="CW35" s="34">
        <v>126.014005</v>
      </c>
      <c r="CX35" s="34">
        <f>+CV35</f>
        <v>126.014005</v>
      </c>
      <c r="CY35" s="34">
        <f>+CW35</f>
        <v>126.014005</v>
      </c>
      <c r="CZ35" s="39"/>
      <c r="DA35" s="34"/>
      <c r="DB35" s="34">
        <v>2087.2415259168038</v>
      </c>
      <c r="DC35" s="34">
        <v>2977.0135259168037</v>
      </c>
      <c r="DD35" s="34">
        <v>2069.5115259168033</v>
      </c>
      <c r="DE35" s="34">
        <v>6976.4515549893285</v>
      </c>
      <c r="DF35" s="34">
        <v>11920.161038851644</v>
      </c>
      <c r="DG35" s="34">
        <v>9093.4421400602441</v>
      </c>
      <c r="DH35" s="39"/>
      <c r="DI35" s="33"/>
      <c r="DJ35" s="326">
        <f>+((CT35/4)*$G$35*$A$35)+DB35</f>
        <v>22898.478649391513</v>
      </c>
      <c r="DK35" s="326">
        <f>+((CU35/4)*$G$35*$A$35)+DC35</f>
        <v>23788.250649391513</v>
      </c>
      <c r="DL35" s="326">
        <f>+((CV35/4)*$G$35*$A$35)+DD35</f>
        <v>22880.741085515467</v>
      </c>
      <c r="DM35" s="326">
        <f>+((CW35/4)*$G35*A35)+DE35</f>
        <v>27787.681114587991</v>
      </c>
      <c r="DN35" s="326">
        <f>+((CX35/4)*$G35*A35)+DF35</f>
        <v>32731.390598450307</v>
      </c>
      <c r="DO35" s="326">
        <f>+((CY35/4)*$G35*A35)+DG35</f>
        <v>29904.671699658906</v>
      </c>
      <c r="DP35" s="39"/>
      <c r="DQ35" s="33">
        <v>0</v>
      </c>
      <c r="DR35" s="33">
        <v>1770.2259999999997</v>
      </c>
      <c r="DS35" s="33">
        <v>2431.5629999999996</v>
      </c>
      <c r="DT35" s="33">
        <v>2954.3909999999996</v>
      </c>
      <c r="DU35" s="33">
        <v>3585.4973409226659</v>
      </c>
      <c r="DV35" s="33">
        <v>5174.5250293814252</v>
      </c>
      <c r="DW35" s="33">
        <v>7188.6129397783698</v>
      </c>
      <c r="DX35"/>
      <c r="DY35" s="33">
        <v>0</v>
      </c>
      <c r="DZ35" s="33">
        <v>1770.2259999999997</v>
      </c>
      <c r="EA35" s="33">
        <v>2431.5629999999996</v>
      </c>
      <c r="EB35" s="33">
        <v>2954.3909999999996</v>
      </c>
      <c r="EC35" s="33">
        <v>3585.4973409226659</v>
      </c>
      <c r="ED35" s="33">
        <v>4289.9379202002583</v>
      </c>
      <c r="EE35" s="33">
        <v>6014.8031712750517</v>
      </c>
      <c r="EG35" s="33">
        <v>0</v>
      </c>
      <c r="EH35" s="33">
        <v>744.86199999999951</v>
      </c>
      <c r="EI35" s="33">
        <v>1008.3959999999997</v>
      </c>
      <c r="EJ35" s="33">
        <v>1589.0979999999995</v>
      </c>
      <c r="EK35" s="33">
        <v>3499.9008000000003</v>
      </c>
      <c r="EL35" s="33">
        <v>-2509.1030685370179</v>
      </c>
      <c r="EM35" s="33">
        <v>3463.1505891897505</v>
      </c>
      <c r="EO35" s="33"/>
      <c r="EP35" s="33"/>
      <c r="EQ35" s="33"/>
      <c r="ER35" s="33"/>
      <c r="ES35" s="33"/>
      <c r="ET35" s="33"/>
      <c r="EU35" s="33"/>
      <c r="EW35" s="33"/>
      <c r="EX35" s="360">
        <v>437.19299999999998</v>
      </c>
      <c r="EY35" s="360">
        <v>283.580353</v>
      </c>
      <c r="EZ35" s="360">
        <v>770</v>
      </c>
      <c r="FA35" s="360">
        <v>680</v>
      </c>
      <c r="FB35" s="360">
        <v>545</v>
      </c>
      <c r="FC35" s="360">
        <v>545</v>
      </c>
      <c r="FE35" s="52">
        <f t="shared" si="247"/>
        <v>0</v>
      </c>
      <c r="FF35" s="52">
        <f t="shared" si="247"/>
        <v>14.047846162882019</v>
      </c>
      <c r="FG35" s="52">
        <f t="shared" si="247"/>
        <v>19.295967271611588</v>
      </c>
      <c r="FH35" s="52">
        <f t="shared" si="247"/>
        <v>23.444941695171103</v>
      </c>
      <c r="FI35" s="52">
        <f t="shared" si="247"/>
        <v>28.453165510632456</v>
      </c>
      <c r="FJ35" s="52">
        <f t="shared" si="247"/>
        <v>34.043342406268721</v>
      </c>
      <c r="FK35" s="52">
        <f t="shared" si="247"/>
        <v>47.731227741512157</v>
      </c>
      <c r="FL35" s="55"/>
      <c r="FM35" s="52">
        <f t="shared" si="248"/>
        <v>0</v>
      </c>
      <c r="FN35" s="52">
        <f t="shared" si="248"/>
        <v>5.9109440199028942</v>
      </c>
      <c r="FO35" s="52">
        <f t="shared" si="248"/>
        <v>8.0022504918951451</v>
      </c>
      <c r="FP35" s="52">
        <f t="shared" si="248"/>
        <v>12.6104872232257</v>
      </c>
      <c r="FQ35" s="52">
        <f t="shared" si="248"/>
        <v>27.773903384786479</v>
      </c>
      <c r="FR35" s="52">
        <f t="shared" si="248"/>
        <v>-19.911303259800512</v>
      </c>
      <c r="FS35" s="52">
        <f t="shared" si="248"/>
        <v>27.482267460587025</v>
      </c>
      <c r="FT35" s="363"/>
      <c r="FU35" s="363"/>
      <c r="FV35" s="54"/>
      <c r="FW35" s="54"/>
      <c r="FX35" s="54"/>
      <c r="FY35" s="54"/>
      <c r="FZ35" s="54"/>
      <c r="GA35" s="54"/>
      <c r="GB35" s="54"/>
      <c r="GC35" s="363"/>
      <c r="GD35" s="52">
        <f t="shared" si="249"/>
        <v>0</v>
      </c>
      <c r="GE35" s="52">
        <f t="shared" si="249"/>
        <v>3.4693988267536908</v>
      </c>
      <c r="GF35" s="52">
        <f t="shared" si="249"/>
        <v>2.2503867719487678</v>
      </c>
      <c r="GG35" s="52">
        <f t="shared" si="249"/>
        <v>6.1104319317523474</v>
      </c>
      <c r="GH35" s="52">
        <f t="shared" si="249"/>
        <v>5.3962256020670081</v>
      </c>
      <c r="GI35" s="52">
        <f t="shared" si="249"/>
        <v>4.324916107538999</v>
      </c>
      <c r="GJ35" s="52">
        <f t="shared" si="249"/>
        <v>4.324916107538999</v>
      </c>
      <c r="GK35" s="55"/>
      <c r="GL35" s="52">
        <f t="shared" si="250"/>
        <v>49.779917082071933</v>
      </c>
      <c r="GM35" s="52">
        <f t="shared" si="250"/>
        <v>64.41279324384675</v>
      </c>
      <c r="GN35" s="52">
        <f t="shared" si="250"/>
        <v>155.97163074452965</v>
      </c>
      <c r="GO35" s="52">
        <f t="shared" si="250"/>
        <v>175.7350621464654</v>
      </c>
      <c r="GP35" s="52">
        <f t="shared" si="250"/>
        <v>296.87470055411694</v>
      </c>
      <c r="GQ35" s="52">
        <f t="shared" si="250"/>
        <v>385.59576795026084</v>
      </c>
      <c r="GR35" s="52">
        <f>+CP35/CY35</f>
        <v>452.16134215996658</v>
      </c>
    </row>
    <row r="36" spans="1:200">
      <c r="D36" s="117"/>
      <c r="E36" s="118" t="s">
        <v>8</v>
      </c>
      <c r="F36" s="118"/>
      <c r="G36" s="119"/>
      <c r="H36" s="120"/>
      <c r="I36" s="120"/>
      <c r="J36" s="128">
        <f>+AVERAGE(J30:J34)</f>
        <v>3.3734164466874272E-2</v>
      </c>
      <c r="K36" s="128">
        <f t="shared" ref="K36:P36" si="255">+AVERAGE(K30:K35)</f>
        <v>3.5096229827987296E-2</v>
      </c>
      <c r="L36" s="128">
        <f t="shared" si="255"/>
        <v>3.3014795086355408E-2</v>
      </c>
      <c r="M36" s="128">
        <f t="shared" si="255"/>
        <v>4.4559549957180866E-2</v>
      </c>
      <c r="N36" s="128">
        <f t="shared" si="255"/>
        <v>6.2634648881738114E-2</v>
      </c>
      <c r="O36" s="128">
        <f t="shared" si="255"/>
        <v>2.1413962606045518E-2</v>
      </c>
      <c r="P36" s="309">
        <f t="shared" si="255"/>
        <v>7.5247073693358243E-2</v>
      </c>
      <c r="Q36" s="128"/>
      <c r="R36" s="128">
        <f>+AVERAGE(R30:R34)</f>
        <v>1.0809361650932266E-2</v>
      </c>
      <c r="S36" s="128">
        <f>+AVERAGE(S30:S35)</f>
        <v>1.0522552250080267E-2</v>
      </c>
      <c r="T36" s="309"/>
      <c r="U36" s="128">
        <f>+AVERAGE(U30:U35)</f>
        <v>5.8816728971993358E-3</v>
      </c>
      <c r="V36" s="12">
        <f>+AVERAGE(V30:V35)</f>
        <v>1.2579067654475598E-2</v>
      </c>
      <c r="W36" s="377">
        <f>+AVERAGE(W30:W35)</f>
        <v>1.3159832856154748E-2</v>
      </c>
      <c r="X36" s="377">
        <f>+AVERAGE(X30:X35)</f>
        <v>2.951165920064917E-2</v>
      </c>
      <c r="Y36" s="380">
        <f>+AVERAGE(Y30:Y35)</f>
        <v>2.6342592539368964E-2</v>
      </c>
      <c r="Z36" s="378"/>
      <c r="AA36" s="379"/>
      <c r="AB36" s="379"/>
      <c r="AC36" s="379"/>
      <c r="AD36" s="379"/>
      <c r="AE36" s="381"/>
      <c r="AF36" s="381"/>
      <c r="AG36" s="381"/>
      <c r="AH36" s="378"/>
      <c r="AI36" s="377">
        <f>+AVERAGE(AI30:AI34)</f>
        <v>4.9591397311044561E-2</v>
      </c>
      <c r="AJ36" s="378"/>
      <c r="AK36" s="377">
        <f>+AVERAGE(AK30:AK35)</f>
        <v>5.5700199429176145E-2</v>
      </c>
      <c r="AL36" s="377">
        <f>+AVERAGE(AL30:AL35)</f>
        <v>5.9528091557915684E-2</v>
      </c>
      <c r="AM36" s="377">
        <f>+AVERAGE(AM32:AM35,AM30)</f>
        <v>7.0863053066770806E-2</v>
      </c>
      <c r="AN36" s="377">
        <f>+AVERAGE(AN32:AN35,AN30)</f>
        <v>7.2817804837420369E-2</v>
      </c>
      <c r="AO36" s="377">
        <f>+AVERAGE(AO32:AO35,AO30)</f>
        <v>7.6221470263704988E-2</v>
      </c>
      <c r="AP36" s="377">
        <f>+AVERAGE(AP32:AP35,AP30)</f>
        <v>9.4494455768489305E-2</v>
      </c>
      <c r="AQ36" s="378"/>
      <c r="AR36" s="377">
        <f>+AVERAGE(AR30:AR34)</f>
        <v>5.6473831133680666E-2</v>
      </c>
      <c r="AS36" s="377">
        <f>+AVERAGE(AS30:AS35)</f>
        <v>6.0953257344126599E-2</v>
      </c>
      <c r="AT36" s="377">
        <f>+AVERAGE(AT30:AT35)</f>
        <v>6.600171833124574E-2</v>
      </c>
      <c r="AU36" s="377">
        <f>+AVERAGE(AU32:AU35,AU30)</f>
        <v>7.9573828948270586E-2</v>
      </c>
      <c r="AV36" s="377">
        <f>+AVERAGE(AV32:AV35,AV30)</f>
        <v>7.9862849194584112E-2</v>
      </c>
      <c r="AW36" s="377">
        <f>+AVERAGE(AW32:AW35,AW30)</f>
        <v>8.8746384343383319E-2</v>
      </c>
      <c r="AX36" s="377">
        <f>+AVERAGE(AX32:AX35,AX30)</f>
        <v>0.10975091934486496</v>
      </c>
      <c r="AY36" s="377"/>
      <c r="AZ36" s="377">
        <f>+AVERAGE(AZ32:AZ35,AZ30)</f>
        <v>-4.0901329736294997E-2</v>
      </c>
      <c r="BA36" s="377">
        <f>+AVERAGE(BA32:BA35,BA30)</f>
        <v>-3.4766130275850751E-2</v>
      </c>
      <c r="BB36" s="382"/>
      <c r="BC36" s="338"/>
      <c r="BD36" s="338"/>
      <c r="BE36" s="338"/>
      <c r="BF36" s="338"/>
    </row>
    <row r="37" spans="1:200">
      <c r="D37" s="108"/>
      <c r="E37" s="112"/>
      <c r="F37" s="112"/>
      <c r="G37" s="113"/>
      <c r="H37" s="114"/>
      <c r="I37" s="114"/>
      <c r="J37" s="127"/>
      <c r="K37" s="127"/>
      <c r="L37" s="127"/>
      <c r="M37" s="127"/>
      <c r="N37" s="127"/>
      <c r="O37" s="127"/>
      <c r="P37" s="127"/>
      <c r="R37" s="127"/>
      <c r="S37" s="127"/>
      <c r="T37" s="127"/>
      <c r="U37" s="127"/>
      <c r="V37" s="127"/>
      <c r="W37" s="127"/>
      <c r="X37" s="127"/>
      <c r="Y37" s="127"/>
      <c r="AI37" s="127"/>
      <c r="AK37" s="127"/>
      <c r="AL37" s="127"/>
    </row>
    <row r="38" spans="1:200">
      <c r="D38" s="5"/>
      <c r="E38" s="115" t="s">
        <v>134</v>
      </c>
      <c r="F38" s="115"/>
      <c r="G38" s="116"/>
      <c r="H38" s="7"/>
      <c r="I38" s="7"/>
      <c r="J38" s="7"/>
      <c r="K38" s="7"/>
      <c r="L38" s="7"/>
      <c r="M38" s="7"/>
      <c r="N38" s="7"/>
      <c r="O38" s="7"/>
      <c r="P38" s="7"/>
      <c r="R38" s="7"/>
      <c r="S38" s="7"/>
      <c r="T38" s="7"/>
      <c r="U38" s="7"/>
      <c r="V38" s="7"/>
      <c r="W38" s="7"/>
      <c r="X38" s="7"/>
      <c r="Y38" s="7"/>
      <c r="AI38" s="7"/>
      <c r="AK38" s="7"/>
      <c r="AL38" s="7"/>
      <c r="CF38" s="88"/>
    </row>
    <row r="39" spans="1:200" ht="11.25" customHeight="1">
      <c r="A39" s="37">
        <f>+A30</f>
        <v>3.9908999999999999</v>
      </c>
      <c r="B39" s="64">
        <f>+B30</f>
        <v>3.1427999999999998E-2</v>
      </c>
      <c r="D39" s="6"/>
      <c r="E39" s="20" t="s">
        <v>135</v>
      </c>
      <c r="F39" s="20" t="s">
        <v>337</v>
      </c>
      <c r="G39" s="21">
        <f>+Bloomberg!F61</f>
        <v>12.1</v>
      </c>
      <c r="H39" s="22">
        <f>+(G39*CS39)/A39</f>
        <v>903.83463139893263</v>
      </c>
      <c r="I39" s="22"/>
      <c r="J39" s="23" t="s">
        <v>9</v>
      </c>
      <c r="K39" s="23" t="s">
        <v>9</v>
      </c>
      <c r="L39" s="23">
        <f t="shared" ref="L39:P41" si="256">+FO39/$G39</f>
        <v>1.5751866224247554E-2</v>
      </c>
      <c r="M39" s="23">
        <f t="shared" si="256"/>
        <v>2.3539432918590328E-2</v>
      </c>
      <c r="N39" s="23">
        <f t="shared" si="256"/>
        <v>3.3323209999429171E-2</v>
      </c>
      <c r="O39" s="23">
        <f t="shared" si="256"/>
        <v>2.4951798893705749E-2</v>
      </c>
      <c r="P39" s="23">
        <f t="shared" si="256"/>
        <v>3.5322602599394924E-2</v>
      </c>
      <c r="Q39" s="24"/>
      <c r="R39" s="23">
        <f t="shared" ref="R39:S41" si="257">+GD39/$G39</f>
        <v>0.45367691862699805</v>
      </c>
      <c r="S39" s="23">
        <f t="shared" si="257"/>
        <v>0.16611570247933888</v>
      </c>
      <c r="T39" s="23"/>
      <c r="U39" s="23">
        <f t="shared" ref="U39:Y41" si="258">+GF39/$G39</f>
        <v>7.4196146080413722E-3</v>
      </c>
      <c r="V39" s="23">
        <f t="shared" si="258"/>
        <v>1.0652700927429828E-2</v>
      </c>
      <c r="W39" s="23">
        <f t="shared" si="258"/>
        <v>1.7803518088072245E-2</v>
      </c>
      <c r="X39" s="23">
        <f t="shared" si="258"/>
        <v>1.1291862983075621E-2</v>
      </c>
      <c r="Y39" s="23">
        <f t="shared" si="258"/>
        <v>1.8871729173356579E-2</v>
      </c>
      <c r="Z39" s="24"/>
      <c r="AA39" s="56" t="s">
        <v>9</v>
      </c>
      <c r="AB39" s="56" t="s">
        <v>9</v>
      </c>
      <c r="AC39" s="56" t="s">
        <v>9</v>
      </c>
      <c r="AD39" s="56" t="s">
        <v>9</v>
      </c>
      <c r="AE39" s="56"/>
      <c r="AF39" s="56"/>
      <c r="AG39" s="56"/>
      <c r="AH39" s="24"/>
      <c r="AI39" s="23">
        <f>+DY39/DI39</f>
        <v>6.1646587863822218E-2</v>
      </c>
      <c r="AJ39" s="24"/>
      <c r="AK39" s="23">
        <f t="shared" ref="AK39:AP40" si="259">+DZ39/DJ39</f>
        <v>5.7093381913081324E-2</v>
      </c>
      <c r="AL39" s="23">
        <f t="shared" si="259"/>
        <v>3.3936491485278136E-2</v>
      </c>
      <c r="AM39" s="23">
        <f t="shared" si="259"/>
        <v>3.4237356080655409E-2</v>
      </c>
      <c r="AN39" s="23">
        <f t="shared" si="259"/>
        <v>3.7409630151141689E-2</v>
      </c>
      <c r="AO39" s="23">
        <f t="shared" si="259"/>
        <v>3.629159744549474E-2</v>
      </c>
      <c r="AP39" s="23">
        <f t="shared" si="259"/>
        <v>3.9654207960210186E-2</v>
      </c>
      <c r="AQ39" s="24"/>
      <c r="AR39" s="23">
        <f t="shared" ref="AR39:AW41" si="260">+DQ39/DI39</f>
        <v>7.0474695511840019E-2</v>
      </c>
      <c r="AS39" s="23">
        <f t="shared" si="260"/>
        <v>6.767846051629671E-2</v>
      </c>
      <c r="AT39" s="23">
        <f t="shared" si="260"/>
        <v>4.3897715617391905E-2</v>
      </c>
      <c r="AU39" s="23">
        <f t="shared" si="260"/>
        <v>4.400625236035436E-2</v>
      </c>
      <c r="AV39" s="23">
        <f t="shared" si="260"/>
        <v>4.7402310076400195E-2</v>
      </c>
      <c r="AW39" s="23">
        <f t="shared" si="260"/>
        <v>4.6646627501975624E-2</v>
      </c>
      <c r="AX39" s="23">
        <f t="shared" ref="AX39" si="261">+DW39/DO39</f>
        <v>5.0246448680984206E-2</v>
      </c>
      <c r="AY39" s="24"/>
      <c r="AZ39" s="23">
        <f>+AM39-B39</f>
        <v>2.8093560806554119E-3</v>
      </c>
      <c r="BA39" s="23">
        <f>+AZ39*0.85</f>
        <v>2.3879526685570999E-3</v>
      </c>
      <c r="BB39" s="6"/>
      <c r="BC39" s="25"/>
      <c r="BD39" s="25"/>
      <c r="BE39" s="25"/>
      <c r="BF39" s="26"/>
      <c r="BG39" s="25"/>
      <c r="BH39" s="26"/>
      <c r="BI39" s="25"/>
      <c r="BJ39" s="26"/>
      <c r="BK39" s="25"/>
      <c r="BL39" s="25"/>
      <c r="BM39" s="26"/>
      <c r="BN39" s="25"/>
      <c r="BO39" s="26"/>
      <c r="BP39" s="25"/>
      <c r="BQ39" s="26"/>
      <c r="BR39" s="25"/>
      <c r="BS39" s="26"/>
      <c r="BT39" s="25"/>
      <c r="BU39" s="33"/>
      <c r="BV39" s="25"/>
      <c r="BW39" s="40"/>
      <c r="BY39" s="48"/>
      <c r="BZ39" s="88"/>
      <c r="CA39" s="88"/>
      <c r="CB39" s="88"/>
      <c r="CC39" s="88"/>
      <c r="CD39" s="88"/>
      <c r="CE39" s="88"/>
      <c r="CF39" s="88"/>
      <c r="CG39" s="88"/>
      <c r="CH39" s="39"/>
      <c r="CI39" s="98"/>
      <c r="CJ39" s="33"/>
      <c r="CK39" s="33"/>
      <c r="CL39" s="33"/>
      <c r="CM39" s="33"/>
      <c r="CN39" s="33"/>
      <c r="CO39" s="33"/>
      <c r="CP39" s="33"/>
      <c r="CQ39" s="39"/>
      <c r="CR39" s="98"/>
      <c r="CS39" s="33">
        <v>298.1085645</v>
      </c>
      <c r="CT39" s="33">
        <v>298.22843399999999</v>
      </c>
      <c r="CU39" s="33">
        <v>298.22843399999999</v>
      </c>
      <c r="CV39" s="33">
        <v>298.22843399999999</v>
      </c>
      <c r="CW39" s="33">
        <v>298.22843399999999</v>
      </c>
      <c r="CX39" s="33">
        <f t="shared" ref="CX39:CY39" si="262">+CV39</f>
        <v>298.22843399999999</v>
      </c>
      <c r="CY39" s="33">
        <f t="shared" si="262"/>
        <v>298.22843399999999</v>
      </c>
      <c r="CZ39" s="39"/>
      <c r="DA39" s="33">
        <v>8266.4389109641997</v>
      </c>
      <c r="DB39" s="33">
        <v>6954.3239715605632</v>
      </c>
      <c r="DC39" s="33">
        <v>7101.2238355888903</v>
      </c>
      <c r="DD39" s="33">
        <v>7133.6468583140786</v>
      </c>
      <c r="DE39" s="33">
        <v>7165.7777092010019</v>
      </c>
      <c r="DF39" s="33">
        <f>+DD39</f>
        <v>7133.6468583140786</v>
      </c>
      <c r="DG39" s="33">
        <f>+DE39</f>
        <v>7165.7777092010019</v>
      </c>
      <c r="DH39" s="39"/>
      <c r="DI39" s="33">
        <f>+(CS39*G39)+DA39</f>
        <v>11873.552541414199</v>
      </c>
      <c r="DJ39" s="33">
        <f>+(CT39*G39)+DB39</f>
        <v>10562.888022960564</v>
      </c>
      <c r="DK39" s="33">
        <f>+(CU39*G39)+DC39</f>
        <v>10709.78788698889</v>
      </c>
      <c r="DL39" s="33">
        <f>+(CV39*G39)+DD39</f>
        <v>10742.210909714078</v>
      </c>
      <c r="DM39" s="326">
        <f t="shared" ref="DM39:DO42" si="263">+(CW39*$G39)+DE39</f>
        <v>10774.341760601001</v>
      </c>
      <c r="DN39" s="326">
        <f t="shared" si="263"/>
        <v>10742.210909714078</v>
      </c>
      <c r="DO39" s="326">
        <f t="shared" si="263"/>
        <v>10774.341760601001</v>
      </c>
      <c r="DP39" s="39"/>
      <c r="DQ39" s="33">
        <v>836.78499999999997</v>
      </c>
      <c r="DR39" s="33">
        <v>714.88</v>
      </c>
      <c r="DS39" s="33">
        <v>470.13522298562685</v>
      </c>
      <c r="DT39" s="33">
        <v>472.72444420102948</v>
      </c>
      <c r="DU39" s="33">
        <v>510.72868900511622</v>
      </c>
      <c r="DV39" s="33">
        <f>+DT39*(1.06)</f>
        <v>501.08791085309127</v>
      </c>
      <c r="DW39" s="33">
        <f>+DU39*(1.06)</f>
        <v>541.37241034542319</v>
      </c>
      <c r="DX39"/>
      <c r="DY39" s="33">
        <v>731.96400000000006</v>
      </c>
      <c r="DZ39" s="33">
        <v>603.07100000000003</v>
      </c>
      <c r="EA39" s="33">
        <v>363.45262543593338</v>
      </c>
      <c r="EB39" s="33">
        <v>367.78490000938217</v>
      </c>
      <c r="EC39" s="33">
        <v>403.0641403860842</v>
      </c>
      <c r="ED39" s="33">
        <f>+EB39*(1.06)</f>
        <v>389.85199400994514</v>
      </c>
      <c r="EE39" s="33">
        <f>+EC39*(1.06)</f>
        <v>427.24798880924925</v>
      </c>
      <c r="EG39" s="33">
        <v>230.59700000000001</v>
      </c>
      <c r="EH39" s="33">
        <v>82.173000000000002</v>
      </c>
      <c r="EI39" s="33">
        <v>56.841618199281569</v>
      </c>
      <c r="EJ39" s="33">
        <v>84.94355142036683</v>
      </c>
      <c r="EK39" s="33">
        <v>120.24893768119311</v>
      </c>
      <c r="EL39" s="33">
        <f>+EJ39*(1.06)</f>
        <v>90.040164505588848</v>
      </c>
      <c r="EM39" s="33">
        <f>+EK39*(1.06)</f>
        <v>127.46387394206471</v>
      </c>
      <c r="EO39" s="100"/>
      <c r="EP39" s="100"/>
      <c r="EQ39" s="100"/>
      <c r="ER39" s="100"/>
      <c r="ES39" s="100"/>
      <c r="ET39" s="100"/>
      <c r="EU39" s="100"/>
      <c r="EW39" s="33">
        <v>1636.464197</v>
      </c>
      <c r="EX39" s="33">
        <v>599.43915234000008</v>
      </c>
      <c r="EY39" s="33">
        <v>26.774154549820395</v>
      </c>
      <c r="EZ39" s="33">
        <v>38.440953617038716</v>
      </c>
      <c r="FA39" s="33">
        <v>64.245135361067156</v>
      </c>
      <c r="FB39" s="33">
        <f>+EZ39*1.06</f>
        <v>40.747410834061043</v>
      </c>
      <c r="FC39" s="33">
        <f>+FA39*1.06</f>
        <v>68.099843482731188</v>
      </c>
      <c r="FE39" s="52">
        <f t="shared" ref="FE39:FK42" si="264">+DY39/CS39</f>
        <v>2.4553605201772055</v>
      </c>
      <c r="FF39" s="52">
        <f t="shared" si="264"/>
        <v>2.0221780730673053</v>
      </c>
      <c r="FG39" s="52">
        <f t="shared" si="264"/>
        <v>1.2187054754005562</v>
      </c>
      <c r="FH39" s="52">
        <f t="shared" si="264"/>
        <v>1.233232173996468</v>
      </c>
      <c r="FI39" s="52">
        <f t="shared" si="264"/>
        <v>1.3515282060129927</v>
      </c>
      <c r="FJ39" s="52">
        <f t="shared" si="264"/>
        <v>1.3072261044362563</v>
      </c>
      <c r="FK39" s="52">
        <f t="shared" si="264"/>
        <v>1.4326198983737723</v>
      </c>
      <c r="FM39" s="52">
        <f t="shared" ref="FM39:FS42" si="265">+EG39/CS39</f>
        <v>0.77353362989341423</v>
      </c>
      <c r="FN39" s="52">
        <f t="shared" si="265"/>
        <v>0.27553710723639452</v>
      </c>
      <c r="FO39" s="52">
        <f t="shared" si="265"/>
        <v>0.19059758131339538</v>
      </c>
      <c r="FP39" s="52">
        <f t="shared" si="265"/>
        <v>0.28482713831494294</v>
      </c>
      <c r="FQ39" s="52">
        <f t="shared" si="265"/>
        <v>0.40321084099309296</v>
      </c>
      <c r="FR39" s="52">
        <f t="shared" si="265"/>
        <v>0.30191676661383954</v>
      </c>
      <c r="FS39" s="52">
        <f t="shared" si="265"/>
        <v>0.42740349145267859</v>
      </c>
      <c r="FV39" s="52"/>
      <c r="FW39" s="52"/>
      <c r="FX39" s="52"/>
      <c r="FY39" s="52"/>
      <c r="FZ39" s="52"/>
      <c r="GA39" s="52"/>
      <c r="GB39" s="52"/>
      <c r="GD39" s="52">
        <f t="shared" ref="GD39:GJ42" si="266">+EW39/CS39</f>
        <v>5.4894907153866761</v>
      </c>
      <c r="GE39" s="52">
        <f t="shared" si="266"/>
        <v>2.0100000000000002</v>
      </c>
      <c r="GF39" s="52">
        <f t="shared" si="266"/>
        <v>8.9777336757300596E-2</v>
      </c>
      <c r="GG39" s="52">
        <f t="shared" si="266"/>
        <v>0.12889768122190093</v>
      </c>
      <c r="GH39" s="52">
        <f t="shared" si="266"/>
        <v>0.21542256886567415</v>
      </c>
      <c r="GI39" s="52">
        <f t="shared" si="266"/>
        <v>0.136631542095215</v>
      </c>
      <c r="GJ39" s="52">
        <f t="shared" si="266"/>
        <v>0.22834792299761461</v>
      </c>
      <c r="GL39" s="52">
        <f t="shared" ref="GL39:GQ42" si="267">+CJ39/CS39</f>
        <v>0</v>
      </c>
      <c r="GM39" s="52">
        <f t="shared" si="267"/>
        <v>0</v>
      </c>
      <c r="GN39" s="52">
        <f t="shared" si="267"/>
        <v>0</v>
      </c>
      <c r="GO39" s="52">
        <f t="shared" si="267"/>
        <v>0</v>
      </c>
      <c r="GP39" s="52">
        <f t="shared" si="267"/>
        <v>0</v>
      </c>
      <c r="GQ39" s="52">
        <f t="shared" si="267"/>
        <v>0</v>
      </c>
      <c r="GR39" s="52"/>
    </row>
    <row r="40" spans="1:200" ht="11.25" customHeight="1">
      <c r="A40" s="37">
        <f t="shared" ref="A40:B42" si="268">+A39</f>
        <v>3.9908999999999999</v>
      </c>
      <c r="B40" s="64">
        <f t="shared" si="268"/>
        <v>3.1427999999999998E-2</v>
      </c>
      <c r="D40" s="19"/>
      <c r="E40" s="27" t="s">
        <v>137</v>
      </c>
      <c r="F40" s="27" t="s">
        <v>5</v>
      </c>
      <c r="G40" s="28">
        <f>+Bloomberg!F62</f>
        <v>42.1</v>
      </c>
      <c r="H40" s="29">
        <f>+(G40*CS40)/A40</f>
        <v>602.00426571700621</v>
      </c>
      <c r="I40" s="29"/>
      <c r="J40" s="30">
        <f>+FM40/$G40</f>
        <v>5.3501102185445876E-2</v>
      </c>
      <c r="K40" s="30">
        <f>+FN40/$G40</f>
        <v>3.7122991947550657E-2</v>
      </c>
      <c r="L40" s="30">
        <f t="shared" si="256"/>
        <v>1.8684258607263329E-2</v>
      </c>
      <c r="M40" s="30">
        <f t="shared" si="256"/>
        <v>1.5757411176251686E-2</v>
      </c>
      <c r="N40" s="30">
        <f t="shared" si="256"/>
        <v>1.9742569601589443E-2</v>
      </c>
      <c r="O40" s="30">
        <f t="shared" si="256"/>
        <v>1.9742569601589443E-2</v>
      </c>
      <c r="P40" s="30">
        <f t="shared" si="256"/>
        <v>1.9742569601589443E-2</v>
      </c>
      <c r="Q40" s="31"/>
      <c r="R40" s="30">
        <f t="shared" si="257"/>
        <v>1.2829761455442151E-2</v>
      </c>
      <c r="S40" s="30">
        <f t="shared" si="257"/>
        <v>1.7997608894424932E-2</v>
      </c>
      <c r="T40" s="30"/>
      <c r="U40" s="30">
        <f t="shared" si="258"/>
        <v>4.779637295750463E-3</v>
      </c>
      <c r="V40" s="30">
        <f t="shared" si="258"/>
        <v>7.6338471405777656E-3</v>
      </c>
      <c r="W40" s="30">
        <f t="shared" si="258"/>
        <v>7.6058814249201964E-3</v>
      </c>
      <c r="X40" s="30">
        <f t="shared" si="258"/>
        <v>7.6058814249201964E-3</v>
      </c>
      <c r="Y40" s="30">
        <f t="shared" si="258"/>
        <v>7.6058814249201964E-3</v>
      </c>
      <c r="Z40" s="31"/>
      <c r="AA40" s="57" t="s">
        <v>9</v>
      </c>
      <c r="AB40" s="57" t="s">
        <v>9</v>
      </c>
      <c r="AC40" s="57" t="s">
        <v>9</v>
      </c>
      <c r="AD40" s="57" t="s">
        <v>9</v>
      </c>
      <c r="AE40" s="57"/>
      <c r="AF40" s="57"/>
      <c r="AG40" s="57"/>
      <c r="AH40" s="31"/>
      <c r="AI40" s="30">
        <f>+DY40/DI40</f>
        <v>6.3245339590603314E-2</v>
      </c>
      <c r="AJ40" s="31"/>
      <c r="AK40" s="30">
        <f t="shared" si="259"/>
        <v>6.1395701293801702E-2</v>
      </c>
      <c r="AL40" s="30">
        <f t="shared" si="259"/>
        <v>5.7558412792647812E-2</v>
      </c>
      <c r="AM40" s="30">
        <f t="shared" si="259"/>
        <v>5.0908202265152025E-2</v>
      </c>
      <c r="AN40" s="30">
        <f t="shared" si="259"/>
        <v>4.3099707753585723E-2</v>
      </c>
      <c r="AO40" s="30">
        <f t="shared" si="259"/>
        <v>4.3099707753585723E-2</v>
      </c>
      <c r="AP40" s="30">
        <f t="shared" si="259"/>
        <v>4.3099707753585723E-2</v>
      </c>
      <c r="AQ40" s="31"/>
      <c r="AR40" s="30">
        <f t="shared" si="260"/>
        <v>7.5774822618386722E-2</v>
      </c>
      <c r="AS40" s="30">
        <f t="shared" si="260"/>
        <v>7.1986783554381109E-2</v>
      </c>
      <c r="AT40" s="30">
        <f t="shared" si="260"/>
        <v>6.9840993076754773E-2</v>
      </c>
      <c r="AU40" s="30">
        <f t="shared" si="260"/>
        <v>6.4990572418315476E-2</v>
      </c>
      <c r="AV40" s="30">
        <f t="shared" si="260"/>
        <v>5.5972735876655869E-2</v>
      </c>
      <c r="AW40" s="30">
        <f t="shared" si="260"/>
        <v>5.5972735876655869E-2</v>
      </c>
      <c r="AX40" s="30">
        <f t="shared" ref="AX40:AX41" si="269">+DW40/DO40</f>
        <v>5.5972735876655869E-2</v>
      </c>
      <c r="AY40" s="31"/>
      <c r="AZ40" s="30">
        <f t="shared" ref="AZ40:AZ41" si="270">+AO40-B40</f>
        <v>1.1671707753585725E-2</v>
      </c>
      <c r="BA40" s="30">
        <f>+AZ40*0.85</f>
        <v>9.9209515905478666E-3</v>
      </c>
      <c r="BB40" s="19"/>
      <c r="BC40" s="25"/>
      <c r="BD40" s="18"/>
      <c r="BE40" s="25"/>
      <c r="BF40" s="32"/>
      <c r="BG40" s="25"/>
      <c r="BH40" s="32"/>
      <c r="BI40" s="25"/>
      <c r="BJ40" s="32"/>
      <c r="BK40" s="25"/>
      <c r="BL40" s="25"/>
      <c r="BM40" s="32"/>
      <c r="BN40" s="25"/>
      <c r="BO40" s="32"/>
      <c r="BP40" s="25"/>
      <c r="BQ40" s="32"/>
      <c r="BR40" s="25"/>
      <c r="BS40" s="32"/>
      <c r="BT40" s="25"/>
      <c r="BU40" s="34"/>
      <c r="BV40" s="25"/>
      <c r="BW40" s="41"/>
      <c r="BY40" s="48"/>
      <c r="BZ40" s="88"/>
      <c r="CA40" s="88"/>
      <c r="CB40" s="88"/>
      <c r="CC40" s="88"/>
      <c r="CD40" s="88"/>
      <c r="CE40" s="88"/>
      <c r="CF40" s="88"/>
      <c r="CG40" s="88"/>
      <c r="CH40" s="39"/>
      <c r="CI40" s="99"/>
      <c r="CJ40" s="34"/>
      <c r="CK40" s="34"/>
      <c r="CL40" s="34"/>
      <c r="CM40" s="34"/>
      <c r="CN40" s="34"/>
      <c r="CO40" s="34"/>
      <c r="CP40" s="34"/>
      <c r="CQ40" s="39"/>
      <c r="CR40" s="99"/>
      <c r="CS40" s="34">
        <v>57.0674305</v>
      </c>
      <c r="CT40" s="34">
        <v>56.518460625000003</v>
      </c>
      <c r="CU40" s="34">
        <v>56.196434625000002</v>
      </c>
      <c r="CV40" s="34">
        <v>56.332124999999998</v>
      </c>
      <c r="CW40" s="34">
        <v>56.539250000000003</v>
      </c>
      <c r="CX40" s="399">
        <f>+CW40</f>
        <v>56.539250000000003</v>
      </c>
      <c r="CY40" s="399">
        <f>+CX40</f>
        <v>56.539250000000003</v>
      </c>
      <c r="CZ40" s="39"/>
      <c r="DA40" s="34">
        <v>1181.6679999999999</v>
      </c>
      <c r="DB40" s="34">
        <v>1727.415</v>
      </c>
      <c r="DC40" s="34">
        <v>1662.03</v>
      </c>
      <c r="DD40" s="34">
        <v>1501.4280000000001</v>
      </c>
      <c r="DE40" s="34">
        <v>1406.7410137145162</v>
      </c>
      <c r="DF40" s="34">
        <f>+DE40</f>
        <v>1406.7410137145162</v>
      </c>
      <c r="DG40" s="34">
        <f>+DF40</f>
        <v>1406.7410137145162</v>
      </c>
      <c r="DH40" s="39"/>
      <c r="DI40" s="34">
        <f>+(CS40*G40)+DA40</f>
        <v>3584.2068240500003</v>
      </c>
      <c r="DJ40" s="34">
        <f>+(CT40*G40)+DB40</f>
        <v>4106.8421923125006</v>
      </c>
      <c r="DK40" s="34">
        <f>+(CU40*G40)+DC40</f>
        <v>4027.8998977125002</v>
      </c>
      <c r="DL40" s="327">
        <f>+(CV40*$G40)+DD40</f>
        <v>3873.0104625000004</v>
      </c>
      <c r="DM40" s="327">
        <f t="shared" si="263"/>
        <v>3787.0434387145165</v>
      </c>
      <c r="DN40" s="327">
        <f t="shared" si="263"/>
        <v>3787.0434387145165</v>
      </c>
      <c r="DO40" s="327">
        <f t="shared" si="263"/>
        <v>3787.0434387145165</v>
      </c>
      <c r="DP40" s="39"/>
      <c r="DQ40" s="400">
        <v>271.59263632</v>
      </c>
      <c r="DR40" s="400">
        <v>295.63835998999997</v>
      </c>
      <c r="DS40" s="400">
        <v>281.31252886999999</v>
      </c>
      <c r="DT40" s="400">
        <v>251.70916693999979</v>
      </c>
      <c r="DU40" s="400">
        <v>211.97118214859023</v>
      </c>
      <c r="DV40" s="101">
        <f t="shared" ref="DV40:DW40" si="271">+DU40</f>
        <v>211.97118214859023</v>
      </c>
      <c r="DW40" s="101">
        <f t="shared" si="271"/>
        <v>211.97118214859023</v>
      </c>
      <c r="DX40"/>
      <c r="DY40" s="400">
        <v>226.68437775000004</v>
      </c>
      <c r="DZ40" s="400">
        <v>252.14245650000001</v>
      </c>
      <c r="EA40" s="400">
        <v>231.83952499999998</v>
      </c>
      <c r="EB40" s="400">
        <v>197.16800000000001</v>
      </c>
      <c r="EC40" s="400">
        <v>163.22046545872999</v>
      </c>
      <c r="ED40" s="101">
        <f t="shared" ref="ED40:EE40" si="272">+EC40</f>
        <v>163.22046545872999</v>
      </c>
      <c r="EE40" s="101">
        <f t="shared" si="272"/>
        <v>163.22046545872999</v>
      </c>
      <c r="EG40" s="400">
        <v>128.53847513000002</v>
      </c>
      <c r="EH40" s="400">
        <v>88.331456500000002</v>
      </c>
      <c r="EI40" s="400">
        <v>44.204524999999997</v>
      </c>
      <c r="EJ40" s="400">
        <v>37.369999999999997</v>
      </c>
      <c r="EK40" s="400">
        <v>46.993286298394636</v>
      </c>
      <c r="EL40" s="101">
        <f t="shared" ref="EL40:EM42" si="273">+EK40</f>
        <v>46.993286298394636</v>
      </c>
      <c r="EM40" s="101">
        <f t="shared" si="273"/>
        <v>46.993286298394636</v>
      </c>
      <c r="EO40" s="402">
        <v>128.53847513000002</v>
      </c>
      <c r="EP40" s="402">
        <v>88.331456500000002</v>
      </c>
      <c r="EQ40" s="402">
        <v>44.204524999999997</v>
      </c>
      <c r="ER40" s="402">
        <v>37.369999999999997</v>
      </c>
      <c r="ES40" s="101">
        <v>46.993286298394636</v>
      </c>
      <c r="ET40" s="101">
        <f t="shared" ref="ET40:EU42" si="274">+ES40</f>
        <v>46.993286298394636</v>
      </c>
      <c r="EU40" s="101">
        <f t="shared" si="274"/>
        <v>46.993286298394636</v>
      </c>
      <c r="EW40" s="400">
        <v>30.824000000000002</v>
      </c>
      <c r="EX40" s="400">
        <v>42.823999999999998</v>
      </c>
      <c r="EY40" s="400">
        <v>11.308</v>
      </c>
      <c r="EZ40" s="101">
        <v>18.104298</v>
      </c>
      <c r="FA40" s="101">
        <f t="shared" ref="FA40:FC42" si="275">+EZ40</f>
        <v>18.104298</v>
      </c>
      <c r="FB40" s="101">
        <f t="shared" si="275"/>
        <v>18.104298</v>
      </c>
      <c r="FC40" s="101">
        <f t="shared" si="275"/>
        <v>18.104298</v>
      </c>
      <c r="FE40" s="54">
        <f t="shared" si="264"/>
        <v>3.9722198067074359</v>
      </c>
      <c r="FF40" s="54">
        <f t="shared" si="264"/>
        <v>4.4612406939560021</v>
      </c>
      <c r="FG40" s="54">
        <f t="shared" si="264"/>
        <v>4.125520178407581</v>
      </c>
      <c r="FH40" s="54">
        <f t="shared" si="264"/>
        <v>3.5000987447215954</v>
      </c>
      <c r="FI40" s="54">
        <f t="shared" si="264"/>
        <v>2.8868523275199083</v>
      </c>
      <c r="FJ40" s="54">
        <f t="shared" si="264"/>
        <v>2.8868523275199083</v>
      </c>
      <c r="FK40" s="54">
        <f t="shared" si="264"/>
        <v>2.8868523275199083</v>
      </c>
      <c r="FL40" s="55"/>
      <c r="FM40" s="54">
        <f t="shared" si="265"/>
        <v>2.2523964020072715</v>
      </c>
      <c r="FN40" s="54">
        <f t="shared" si="265"/>
        <v>1.5628779609918826</v>
      </c>
      <c r="FO40" s="54">
        <f t="shared" si="265"/>
        <v>0.78660728736578622</v>
      </c>
      <c r="FP40" s="54">
        <f t="shared" si="265"/>
        <v>0.663387010520196</v>
      </c>
      <c r="FQ40" s="54">
        <f t="shared" si="265"/>
        <v>0.83116218022691557</v>
      </c>
      <c r="FR40" s="54">
        <f t="shared" si="265"/>
        <v>0.83116218022691557</v>
      </c>
      <c r="FS40" s="54">
        <f t="shared" si="265"/>
        <v>0.83116218022691557</v>
      </c>
      <c r="FT40" s="55"/>
      <c r="FU40" s="55"/>
      <c r="FV40" s="54"/>
      <c r="FW40" s="54"/>
      <c r="FX40" s="54"/>
      <c r="FY40" s="54"/>
      <c r="FZ40" s="54"/>
      <c r="GA40" s="54"/>
      <c r="GB40" s="54"/>
      <c r="GC40" s="55"/>
      <c r="GD40" s="54">
        <f t="shared" si="266"/>
        <v>0.54013295727411459</v>
      </c>
      <c r="GE40" s="54">
        <f t="shared" si="266"/>
        <v>0.7576993344552897</v>
      </c>
      <c r="GF40" s="54">
        <f t="shared" si="266"/>
        <v>0.20122273015109451</v>
      </c>
      <c r="GG40" s="54">
        <f t="shared" si="266"/>
        <v>0.32138496461832394</v>
      </c>
      <c r="GH40" s="54">
        <f t="shared" si="266"/>
        <v>0.32020760798914027</v>
      </c>
      <c r="GI40" s="54">
        <f t="shared" si="266"/>
        <v>0.32020760798914027</v>
      </c>
      <c r="GJ40" s="54">
        <f t="shared" si="266"/>
        <v>0.32020760798914027</v>
      </c>
      <c r="GK40" s="55"/>
      <c r="GL40" s="54">
        <f t="shared" si="267"/>
        <v>0</v>
      </c>
      <c r="GM40" s="54">
        <f t="shared" si="267"/>
        <v>0</v>
      </c>
      <c r="GN40" s="54">
        <f t="shared" si="267"/>
        <v>0</v>
      </c>
      <c r="GO40" s="54">
        <f t="shared" si="267"/>
        <v>0</v>
      </c>
      <c r="GP40" s="54">
        <f t="shared" si="267"/>
        <v>0</v>
      </c>
      <c r="GQ40" s="54">
        <f t="shared" si="267"/>
        <v>0</v>
      </c>
      <c r="GR40" s="54"/>
    </row>
    <row r="41" spans="1:200" ht="11.25" customHeight="1">
      <c r="A41" s="37">
        <f t="shared" si="268"/>
        <v>3.9908999999999999</v>
      </c>
      <c r="B41" s="64">
        <f t="shared" si="268"/>
        <v>3.1427999999999998E-2</v>
      </c>
      <c r="D41" s="6"/>
      <c r="E41" s="20" t="s">
        <v>138</v>
      </c>
      <c r="F41" s="20" t="s">
        <v>129</v>
      </c>
      <c r="G41" s="21">
        <f>+Bloomberg!F63</f>
        <v>19.8</v>
      </c>
      <c r="H41" s="22">
        <f>+(G41*CS41)/A41</f>
        <v>410.43014985341654</v>
      </c>
      <c r="I41" s="22"/>
      <c r="J41" s="23">
        <f>+FM41/$G41</f>
        <v>4.9170148881698864E-2</v>
      </c>
      <c r="K41" s="23">
        <f>+FN41/$G41</f>
        <v>1.0196284342346599E-2</v>
      </c>
      <c r="L41" s="23">
        <f t="shared" si="256"/>
        <v>-3.2645729398526217E-2</v>
      </c>
      <c r="M41" s="23">
        <f t="shared" si="256"/>
        <v>-1.8708072000945267E-2</v>
      </c>
      <c r="N41" s="23">
        <f t="shared" si="256"/>
        <v>3.9673256872695815E-2</v>
      </c>
      <c r="O41" s="23">
        <f t="shared" si="256"/>
        <v>3.9673256872695815E-2</v>
      </c>
      <c r="P41" s="23">
        <f t="shared" si="256"/>
        <v>3.9673256872695815E-2</v>
      </c>
      <c r="Q41" s="24"/>
      <c r="R41" s="23">
        <f t="shared" si="257"/>
        <v>1.4203420831049467E-2</v>
      </c>
      <c r="S41" s="23">
        <f t="shared" si="257"/>
        <v>3.0417971719152222E-3</v>
      </c>
      <c r="T41" s="23"/>
      <c r="U41" s="23">
        <f t="shared" si="258"/>
        <v>0</v>
      </c>
      <c r="V41" s="23">
        <f t="shared" si="258"/>
        <v>0.14591230366519234</v>
      </c>
      <c r="W41" s="23">
        <f t="shared" si="258"/>
        <v>0.1459125407110437</v>
      </c>
      <c r="X41" s="23">
        <f t="shared" si="258"/>
        <v>0.1459125407110437</v>
      </c>
      <c r="Y41" s="23">
        <f t="shared" si="258"/>
        <v>0.1459125407110437</v>
      </c>
      <c r="Z41" s="24"/>
      <c r="AA41" s="56" t="s">
        <v>9</v>
      </c>
      <c r="AB41" s="56" t="s">
        <v>9</v>
      </c>
      <c r="AC41" s="56" t="s">
        <v>9</v>
      </c>
      <c r="AD41" s="56" t="s">
        <v>9</v>
      </c>
      <c r="AE41" s="56"/>
      <c r="AF41" s="56"/>
      <c r="AG41" s="56"/>
      <c r="AH41" s="24"/>
      <c r="AI41" s="23">
        <f>+DY41/DI41</f>
        <v>4.2636809408000353E-2</v>
      </c>
      <c r="AJ41" s="24"/>
      <c r="AK41" s="23">
        <f>+DZ41/DJ41</f>
        <v>4.5480686396061266E-2</v>
      </c>
      <c r="AL41" s="23">
        <f>+EA41/DK41</f>
        <v>3.9028173341107628E-2</v>
      </c>
      <c r="AM41" s="23">
        <f>+EB41/DL41</f>
        <v>5.2140528051987579E-2</v>
      </c>
      <c r="AN41" s="23">
        <f>+EC41/DM41</f>
        <v>5.2555045168989262E-2</v>
      </c>
      <c r="AO41" s="23">
        <f>+ED41/DN41</f>
        <v>5.2555045168989262E-2</v>
      </c>
      <c r="AP41" s="23">
        <f t="shared" ref="AP41" si="276">+EE41/DO41</f>
        <v>5.2555045168989262E-2</v>
      </c>
      <c r="AQ41" s="24"/>
      <c r="AR41" s="23">
        <f t="shared" si="260"/>
        <v>4.6532570947934476E-2</v>
      </c>
      <c r="AS41" s="23">
        <f t="shared" si="260"/>
        <v>5.0663210273877227E-2</v>
      </c>
      <c r="AT41" s="23">
        <f t="shared" si="260"/>
        <v>4.3297512452567279E-2</v>
      </c>
      <c r="AU41" s="23">
        <f t="shared" si="260"/>
        <v>6.2759864383357483E-2</v>
      </c>
      <c r="AV41" s="23">
        <f t="shared" si="260"/>
        <v>6.2188151755778583E-2</v>
      </c>
      <c r="AW41" s="23">
        <f t="shared" si="260"/>
        <v>6.2188151755778583E-2</v>
      </c>
      <c r="AX41" s="23">
        <f t="shared" si="269"/>
        <v>6.2188151755778583E-2</v>
      </c>
      <c r="AY41" s="24"/>
      <c r="AZ41" s="23">
        <f t="shared" si="270"/>
        <v>2.1127045168989264E-2</v>
      </c>
      <c r="BA41" s="23">
        <f>+AZ41*0.85</f>
        <v>1.7957988393640874E-2</v>
      </c>
      <c r="BB41" s="6"/>
      <c r="BC41" s="25"/>
      <c r="BD41" s="25"/>
      <c r="BE41" s="25"/>
      <c r="BF41" s="26"/>
      <c r="BG41" s="25"/>
      <c r="BH41" s="26"/>
      <c r="BI41" s="25"/>
      <c r="BJ41" s="26"/>
      <c r="BK41" s="25"/>
      <c r="BL41" s="25"/>
      <c r="BM41" s="26"/>
      <c r="BN41" s="25"/>
      <c r="BO41" s="26"/>
      <c r="BP41" s="25"/>
      <c r="BQ41" s="26"/>
      <c r="BR41" s="25"/>
      <c r="BS41" s="26"/>
      <c r="BT41" s="25"/>
      <c r="BU41" s="33"/>
      <c r="BV41" s="25"/>
      <c r="BW41" s="40"/>
      <c r="BY41" s="48"/>
      <c r="BZ41" s="88"/>
      <c r="CA41" s="88"/>
      <c r="CB41" s="88"/>
      <c r="CC41" s="88"/>
      <c r="CD41" s="88"/>
      <c r="CE41" s="88"/>
      <c r="CF41" s="88"/>
      <c r="CG41" s="88"/>
      <c r="CH41" s="39"/>
      <c r="CI41" s="98"/>
      <c r="CJ41" s="33"/>
      <c r="CK41" s="33"/>
      <c r="CL41" s="33"/>
      <c r="CM41" s="33"/>
      <c r="CN41" s="33"/>
      <c r="CO41" s="33"/>
      <c r="CP41" s="33"/>
      <c r="CQ41" s="39"/>
      <c r="CR41" s="98"/>
      <c r="CS41" s="33">
        <v>82.726549750000004</v>
      </c>
      <c r="CT41" s="33">
        <v>91.91801550000001</v>
      </c>
      <c r="CU41" s="33">
        <v>110.25000775000001</v>
      </c>
      <c r="CV41" s="33">
        <v>119.41585449999999</v>
      </c>
      <c r="CW41" s="33">
        <v>119.4156605</v>
      </c>
      <c r="CX41" s="100">
        <f t="shared" ref="CX41:CY42" si="277">+CW41</f>
        <v>119.4156605</v>
      </c>
      <c r="CY41" s="100">
        <f t="shared" si="277"/>
        <v>119.4156605</v>
      </c>
      <c r="CZ41" s="39"/>
      <c r="DA41" s="33">
        <v>3251.944</v>
      </c>
      <c r="DB41" s="33">
        <v>3372.6669999999999</v>
      </c>
      <c r="DC41" s="33">
        <v>3398.71</v>
      </c>
      <c r="DD41" s="33">
        <v>2377.482</v>
      </c>
      <c r="DE41" s="33">
        <v>2539.0859999999998</v>
      </c>
      <c r="DF41" s="33">
        <f t="shared" ref="DF41:DG42" si="278">+DE41</f>
        <v>2539.0859999999998</v>
      </c>
      <c r="DG41" s="33">
        <f t="shared" si="278"/>
        <v>2539.0859999999998</v>
      </c>
      <c r="DH41" s="39"/>
      <c r="DI41" s="33">
        <f>+(CS41*G41)+DA41</f>
        <v>4889.9296850499995</v>
      </c>
      <c r="DJ41" s="33">
        <f>+(CT41*G41)+DB41</f>
        <v>5192.6437069000003</v>
      </c>
      <c r="DK41" s="33">
        <f>+(CU41*G41)+DC41</f>
        <v>5581.6601534500005</v>
      </c>
      <c r="DL41" s="33">
        <f>+(CV41*G41)+DD41</f>
        <v>4741.9159190999999</v>
      </c>
      <c r="DM41" s="326">
        <f t="shared" si="263"/>
        <v>4903.5160778999998</v>
      </c>
      <c r="DN41" s="326">
        <f t="shared" si="263"/>
        <v>4903.5160778999998</v>
      </c>
      <c r="DO41" s="326">
        <f t="shared" si="263"/>
        <v>4903.5160778999998</v>
      </c>
      <c r="DP41" s="39"/>
      <c r="DQ41" s="401">
        <v>227.541</v>
      </c>
      <c r="DR41" s="401">
        <v>263.07600000000002</v>
      </c>
      <c r="DS41" s="401">
        <v>241.672</v>
      </c>
      <c r="DT41" s="401">
        <v>297.60199999999998</v>
      </c>
      <c r="DU41" s="401">
        <v>304.9406019893454</v>
      </c>
      <c r="DV41" s="100">
        <f t="shared" ref="DV41:DW41" si="279">+DU41</f>
        <v>304.9406019893454</v>
      </c>
      <c r="DW41" s="100">
        <f t="shared" si="279"/>
        <v>304.9406019893454</v>
      </c>
      <c r="DX41"/>
      <c r="DY41" s="401">
        <v>208.49100000000001</v>
      </c>
      <c r="DZ41" s="401">
        <v>236.16499999999999</v>
      </c>
      <c r="EA41" s="401">
        <v>217.84200000000001</v>
      </c>
      <c r="EB41" s="401">
        <v>247.24600000000001</v>
      </c>
      <c r="EC41" s="401">
        <v>257.70450896089955</v>
      </c>
      <c r="ED41" s="100">
        <f t="shared" ref="ED41:EE41" si="280">+EC41</f>
        <v>257.70450896089955</v>
      </c>
      <c r="EE41" s="100">
        <f t="shared" si="280"/>
        <v>257.70450896089955</v>
      </c>
      <c r="EG41" s="401">
        <v>80.540000000000006</v>
      </c>
      <c r="EH41" s="401">
        <v>18.556999999999999</v>
      </c>
      <c r="EI41" s="401">
        <v>-71.263999999999996</v>
      </c>
      <c r="EJ41" s="401">
        <v>-44.234000000000002</v>
      </c>
      <c r="EK41" s="401">
        <v>93.804641838054877</v>
      </c>
      <c r="EL41" s="100">
        <f t="shared" si="273"/>
        <v>93.804641838054877</v>
      </c>
      <c r="EM41" s="100">
        <f t="shared" si="273"/>
        <v>93.804641838054877</v>
      </c>
      <c r="EO41" s="401">
        <v>80.540000000000006</v>
      </c>
      <c r="EP41" s="401">
        <v>18.556999999999999</v>
      </c>
      <c r="EQ41" s="401">
        <v>-71.263999999999996</v>
      </c>
      <c r="ER41" s="401">
        <v>-44.234000000000002</v>
      </c>
      <c r="ES41" s="401">
        <v>93.804641838054877</v>
      </c>
      <c r="ET41" s="100">
        <f t="shared" si="274"/>
        <v>93.804641838054877</v>
      </c>
      <c r="EU41" s="100">
        <f t="shared" si="274"/>
        <v>93.804641838054877</v>
      </c>
      <c r="EW41" s="401">
        <v>23.265000000000001</v>
      </c>
      <c r="EX41" s="401">
        <v>5.5359999999999996</v>
      </c>
      <c r="EY41" s="401">
        <v>0</v>
      </c>
      <c r="EZ41" s="401">
        <v>345</v>
      </c>
      <c r="FA41" s="100">
        <f t="shared" si="275"/>
        <v>345</v>
      </c>
      <c r="FB41" s="100">
        <f t="shared" si="275"/>
        <v>345</v>
      </c>
      <c r="FC41" s="100">
        <f t="shared" si="275"/>
        <v>345</v>
      </c>
      <c r="FE41" s="52">
        <f t="shared" si="264"/>
        <v>2.5202429042436889</v>
      </c>
      <c r="FF41" s="52">
        <f t="shared" si="264"/>
        <v>2.5693004653695986</v>
      </c>
      <c r="FG41" s="52">
        <f t="shared" si="264"/>
        <v>1.9758910175677515</v>
      </c>
      <c r="FH41" s="52">
        <f t="shared" si="264"/>
        <v>2.0704620926193682</v>
      </c>
      <c r="FI41" s="52">
        <f t="shared" si="264"/>
        <v>2.1580461715144938</v>
      </c>
      <c r="FJ41" s="52">
        <f t="shared" si="264"/>
        <v>2.1580461715144938</v>
      </c>
      <c r="FK41" s="52">
        <f t="shared" si="264"/>
        <v>2.1580461715144938</v>
      </c>
      <c r="FM41" s="52">
        <f t="shared" si="265"/>
        <v>0.97356894785763748</v>
      </c>
      <c r="FN41" s="52">
        <f t="shared" si="265"/>
        <v>0.20188642997846268</v>
      </c>
      <c r="FO41" s="52">
        <f t="shared" si="265"/>
        <v>-0.64638544209081916</v>
      </c>
      <c r="FP41" s="52">
        <f t="shared" si="265"/>
        <v>-0.37041982561871634</v>
      </c>
      <c r="FQ41" s="52">
        <f t="shared" si="265"/>
        <v>0.78553048607937714</v>
      </c>
      <c r="FR41" s="52">
        <f t="shared" si="265"/>
        <v>0.78553048607937714</v>
      </c>
      <c r="FS41" s="52">
        <f t="shared" si="265"/>
        <v>0.78553048607937714</v>
      </c>
      <c r="FV41" s="52"/>
      <c r="FW41" s="52"/>
      <c r="FX41" s="52"/>
      <c r="FY41" s="52"/>
      <c r="FZ41" s="52"/>
      <c r="GA41" s="52"/>
      <c r="GB41" s="52"/>
      <c r="GD41" s="52">
        <f t="shared" si="266"/>
        <v>0.28122773245477944</v>
      </c>
      <c r="GE41" s="52">
        <f t="shared" si="266"/>
        <v>6.0227584003921399E-2</v>
      </c>
      <c r="GF41" s="52">
        <f t="shared" si="266"/>
        <v>0</v>
      </c>
      <c r="GG41" s="52">
        <f t="shared" si="266"/>
        <v>2.8890636125708085</v>
      </c>
      <c r="GH41" s="52">
        <f t="shared" si="266"/>
        <v>2.8890683060786655</v>
      </c>
      <c r="GI41" s="52">
        <f t="shared" si="266"/>
        <v>2.8890683060786655</v>
      </c>
      <c r="GJ41" s="52">
        <f t="shared" si="266"/>
        <v>2.8890683060786655</v>
      </c>
      <c r="GL41" s="52">
        <f t="shared" si="267"/>
        <v>0</v>
      </c>
      <c r="GM41" s="52">
        <f t="shared" si="267"/>
        <v>0</v>
      </c>
      <c r="GN41" s="52">
        <f t="shared" si="267"/>
        <v>0</v>
      </c>
      <c r="GO41" s="52">
        <f t="shared" si="267"/>
        <v>0</v>
      </c>
      <c r="GP41" s="52">
        <f t="shared" si="267"/>
        <v>0</v>
      </c>
      <c r="GQ41" s="52">
        <f t="shared" si="267"/>
        <v>0</v>
      </c>
      <c r="GR41" s="52"/>
    </row>
    <row r="42" spans="1:200" ht="11.25" customHeight="1">
      <c r="A42" s="37">
        <f t="shared" si="268"/>
        <v>3.9908999999999999</v>
      </c>
      <c r="B42" s="64">
        <f t="shared" si="268"/>
        <v>3.1427999999999998E-2</v>
      </c>
      <c r="D42" s="19"/>
      <c r="E42" s="27" t="s">
        <v>139</v>
      </c>
      <c r="F42" s="27" t="s">
        <v>136</v>
      </c>
      <c r="G42" s="28">
        <f>+Bloomberg!F64</f>
        <v>92.48</v>
      </c>
      <c r="H42" s="29">
        <v>537.4247216754618</v>
      </c>
      <c r="I42" s="29"/>
      <c r="J42" s="30" t="s">
        <v>9</v>
      </c>
      <c r="K42" s="30" t="s">
        <v>9</v>
      </c>
      <c r="L42" s="30" t="s">
        <v>9</v>
      </c>
      <c r="M42" s="30" t="s">
        <v>9</v>
      </c>
      <c r="N42" s="30" t="s">
        <v>9</v>
      </c>
      <c r="O42" s="30" t="s">
        <v>9</v>
      </c>
      <c r="P42" s="30" t="s">
        <v>9</v>
      </c>
      <c r="Q42" s="31"/>
      <c r="R42" s="30" t="s">
        <v>9</v>
      </c>
      <c r="S42" s="30" t="s">
        <v>9</v>
      </c>
      <c r="T42" s="30"/>
      <c r="U42" s="30" t="s">
        <v>9</v>
      </c>
      <c r="V42" s="30" t="s">
        <v>9</v>
      </c>
      <c r="W42" s="30" t="s">
        <v>9</v>
      </c>
      <c r="X42" s="30" t="s">
        <v>9</v>
      </c>
      <c r="Y42" s="30" t="s">
        <v>9</v>
      </c>
      <c r="Z42" s="31"/>
      <c r="AA42" s="57" t="s">
        <v>9</v>
      </c>
      <c r="AB42" s="57" t="s">
        <v>9</v>
      </c>
      <c r="AC42" s="57" t="s">
        <v>9</v>
      </c>
      <c r="AD42" s="57" t="s">
        <v>9</v>
      </c>
      <c r="AE42" s="57"/>
      <c r="AF42" s="57"/>
      <c r="AG42" s="57"/>
      <c r="AH42" s="31"/>
      <c r="AI42" s="30" t="s">
        <v>9</v>
      </c>
      <c r="AJ42" s="31"/>
      <c r="AK42" s="30" t="s">
        <v>9</v>
      </c>
      <c r="AL42" s="30" t="s">
        <v>9</v>
      </c>
      <c r="AM42" s="30" t="s">
        <v>9</v>
      </c>
      <c r="AN42" s="30" t="s">
        <v>9</v>
      </c>
      <c r="AO42" s="30" t="s">
        <v>9</v>
      </c>
      <c r="AP42" s="30" t="s">
        <v>9</v>
      </c>
      <c r="AQ42" s="31"/>
      <c r="AR42" s="30" t="s">
        <v>9</v>
      </c>
      <c r="AS42" s="30" t="s">
        <v>9</v>
      </c>
      <c r="AT42" s="30" t="s">
        <v>9</v>
      </c>
      <c r="AU42" s="30" t="s">
        <v>9</v>
      </c>
      <c r="AV42" s="30" t="s">
        <v>9</v>
      </c>
      <c r="AW42" s="30" t="s">
        <v>9</v>
      </c>
      <c r="AX42" s="30" t="s">
        <v>9</v>
      </c>
      <c r="AY42" s="31"/>
      <c r="AZ42" s="30" t="s">
        <v>9</v>
      </c>
      <c r="BA42" s="30" t="s">
        <v>9</v>
      </c>
      <c r="BB42" s="19"/>
      <c r="BC42" s="25"/>
      <c r="BD42" s="18"/>
      <c r="BE42" s="25"/>
      <c r="BF42" s="32"/>
      <c r="BG42" s="25"/>
      <c r="BH42" s="32"/>
      <c r="BI42" s="25"/>
      <c r="BJ42" s="32"/>
      <c r="BK42" s="25"/>
      <c r="BL42" s="25"/>
      <c r="BM42" s="32"/>
      <c r="BN42" s="25"/>
      <c r="BO42" s="32"/>
      <c r="BP42" s="25"/>
      <c r="BQ42" s="32"/>
      <c r="BR42" s="25"/>
      <c r="BS42" s="32"/>
      <c r="BT42" s="25"/>
      <c r="BU42" s="34"/>
      <c r="BV42" s="25"/>
      <c r="BW42" s="41"/>
      <c r="BY42" s="48"/>
      <c r="BZ42" s="88"/>
      <c r="CA42" s="88"/>
      <c r="CB42" s="88"/>
      <c r="CC42" s="88"/>
      <c r="CD42" s="88"/>
      <c r="CE42" s="88"/>
      <c r="CF42" s="88"/>
      <c r="CG42" s="88"/>
      <c r="CH42" s="39"/>
      <c r="CI42" s="99"/>
      <c r="CJ42" s="34"/>
      <c r="CK42" s="34"/>
      <c r="CL42" s="34"/>
      <c r="CM42" s="34"/>
      <c r="CN42" s="34"/>
      <c r="CO42" s="34"/>
      <c r="CP42" s="34"/>
      <c r="CQ42" s="39"/>
      <c r="CR42" s="99"/>
      <c r="CS42" s="34">
        <v>19.224537000000002</v>
      </c>
      <c r="CT42" s="34">
        <v>19.224537000000002</v>
      </c>
      <c r="CU42" s="34">
        <v>19.224537000000002</v>
      </c>
      <c r="CV42" s="34">
        <v>19.224537000000002</v>
      </c>
      <c r="CW42" s="34">
        <v>19.224537000000002</v>
      </c>
      <c r="CX42" s="399">
        <f t="shared" si="277"/>
        <v>19.224537000000002</v>
      </c>
      <c r="CY42" s="399">
        <f t="shared" si="277"/>
        <v>19.224537000000002</v>
      </c>
      <c r="CZ42" s="39"/>
      <c r="DA42" s="34">
        <v>590.56799999999998</v>
      </c>
      <c r="DB42" s="34">
        <v>569.69399999999996</v>
      </c>
      <c r="DC42" s="34">
        <v>548.601</v>
      </c>
      <c r="DD42" s="34">
        <v>526.80200000000002</v>
      </c>
      <c r="DE42" s="34">
        <v>493.42014159250004</v>
      </c>
      <c r="DF42" s="34">
        <f t="shared" si="278"/>
        <v>493.42014159250004</v>
      </c>
      <c r="DG42" s="34">
        <f t="shared" si="278"/>
        <v>493.42014159250004</v>
      </c>
      <c r="DH42" s="39"/>
      <c r="DI42" s="34">
        <f>+(CS42*G42)+DA42</f>
        <v>2368.45318176</v>
      </c>
      <c r="DJ42" s="34">
        <f>+(CT42*G42)+DB42</f>
        <v>2347.5791817600002</v>
      </c>
      <c r="DK42" s="34">
        <f>+(CU42*G42)+DC42</f>
        <v>2326.4861817600004</v>
      </c>
      <c r="DL42" s="34">
        <f>+(CV42*G42)+DD42</f>
        <v>2304.6871817600004</v>
      </c>
      <c r="DM42" s="327">
        <f t="shared" si="263"/>
        <v>2271.3053233525002</v>
      </c>
      <c r="DN42" s="327">
        <f t="shared" si="263"/>
        <v>2271.3053233525002</v>
      </c>
      <c r="DO42" s="327">
        <f t="shared" si="263"/>
        <v>2271.3053233525002</v>
      </c>
      <c r="DP42" s="39"/>
      <c r="DQ42" s="400">
        <v>253.58699999999999</v>
      </c>
      <c r="DR42" s="400">
        <v>211.18899999999999</v>
      </c>
      <c r="DS42" s="400">
        <v>190.70099999999999</v>
      </c>
      <c r="DT42" s="400">
        <v>143.38800000000001</v>
      </c>
      <c r="DU42" s="400">
        <v>141.31537770223306</v>
      </c>
      <c r="DV42" s="101">
        <f t="shared" ref="DV42:DW42" si="281">+DU42</f>
        <v>141.31537770223306</v>
      </c>
      <c r="DW42" s="101">
        <f t="shared" si="281"/>
        <v>141.31537770223306</v>
      </c>
      <c r="DX42"/>
      <c r="DY42" s="400">
        <v>206.96600000000001</v>
      </c>
      <c r="DZ42" s="400">
        <v>164.44200000000001</v>
      </c>
      <c r="EA42" s="400">
        <v>163.34700000000001</v>
      </c>
      <c r="EB42" s="400">
        <v>108.14400000000001</v>
      </c>
      <c r="EC42" s="400">
        <v>110.5796825934257</v>
      </c>
      <c r="ED42" s="101">
        <f t="shared" ref="ED42:EE42" si="282">+EC42</f>
        <v>110.5796825934257</v>
      </c>
      <c r="EE42" s="101">
        <f t="shared" si="282"/>
        <v>110.5796825934257</v>
      </c>
      <c r="EG42" s="400">
        <v>229.97399999999999</v>
      </c>
      <c r="EH42" s="400">
        <v>186.08699999999999</v>
      </c>
      <c r="EI42" s="400">
        <v>190.72399999999999</v>
      </c>
      <c r="EJ42" s="400">
        <v>90.515000000000001</v>
      </c>
      <c r="EK42" s="400">
        <v>103.44478342021347</v>
      </c>
      <c r="EL42" s="101">
        <f t="shared" si="273"/>
        <v>103.44478342021347</v>
      </c>
      <c r="EM42" s="101">
        <f t="shared" si="273"/>
        <v>103.44478342021347</v>
      </c>
      <c r="EO42" s="400">
        <v>229.97399999999999</v>
      </c>
      <c r="EP42" s="400">
        <v>186.08699999999999</v>
      </c>
      <c r="EQ42" s="400">
        <v>190.72399999999999</v>
      </c>
      <c r="ER42" s="400">
        <v>90.515000000000001</v>
      </c>
      <c r="ES42" s="399">
        <v>103.44478342021347</v>
      </c>
      <c r="ET42" s="101">
        <f t="shared" si="274"/>
        <v>103.44478342021347</v>
      </c>
      <c r="EU42" s="101">
        <f t="shared" si="274"/>
        <v>103.44478342021347</v>
      </c>
      <c r="EW42" s="400">
        <v>233.00138844</v>
      </c>
      <c r="EX42" s="400">
        <v>233.00138844</v>
      </c>
      <c r="EY42" s="400">
        <v>373.08289974420001</v>
      </c>
      <c r="EZ42" s="399">
        <v>148.48993929726001</v>
      </c>
      <c r="FA42" s="101">
        <f t="shared" si="275"/>
        <v>148.48993929726001</v>
      </c>
      <c r="FB42" s="101">
        <f t="shared" si="275"/>
        <v>148.48993929726001</v>
      </c>
      <c r="FC42" s="101">
        <f t="shared" si="275"/>
        <v>148.48993929726001</v>
      </c>
      <c r="FE42" s="54">
        <f t="shared" si="264"/>
        <v>10.765720911770202</v>
      </c>
      <c r="FF42" s="54">
        <f t="shared" si="264"/>
        <v>8.5537560670511859</v>
      </c>
      <c r="FG42" s="54">
        <f t="shared" si="264"/>
        <v>8.4967976081816694</v>
      </c>
      <c r="FH42" s="54">
        <f t="shared" si="264"/>
        <v>5.6253110282968057</v>
      </c>
      <c r="FI42" s="54">
        <f t="shared" si="264"/>
        <v>5.7520075824674315</v>
      </c>
      <c r="FJ42" s="54">
        <f t="shared" si="264"/>
        <v>5.7520075824674315</v>
      </c>
      <c r="FK42" s="54">
        <f t="shared" si="264"/>
        <v>5.7520075824674315</v>
      </c>
      <c r="FL42" s="55"/>
      <c r="FM42" s="54">
        <f t="shared" si="265"/>
        <v>11.962524767176445</v>
      </c>
      <c r="FN42" s="54">
        <f t="shared" si="265"/>
        <v>9.6796609458006699</v>
      </c>
      <c r="FO42" s="54">
        <f t="shared" si="265"/>
        <v>9.9208631136344128</v>
      </c>
      <c r="FP42" s="54">
        <f t="shared" si="265"/>
        <v>4.7083058489262966</v>
      </c>
      <c r="FQ42" s="54">
        <f t="shared" si="265"/>
        <v>5.3808725495034526</v>
      </c>
      <c r="FR42" s="54">
        <f t="shared" si="265"/>
        <v>5.3808725495034526</v>
      </c>
      <c r="FS42" s="54">
        <f t="shared" si="265"/>
        <v>5.3808725495034526</v>
      </c>
      <c r="FT42" s="55"/>
      <c r="FU42" s="55"/>
      <c r="FV42" s="54"/>
      <c r="FW42" s="54"/>
      <c r="FX42" s="54"/>
      <c r="FY42" s="54"/>
      <c r="FZ42" s="54"/>
      <c r="GA42" s="54"/>
      <c r="GB42" s="54"/>
      <c r="GC42" s="55"/>
      <c r="GD42" s="54">
        <f t="shared" si="266"/>
        <v>12.12</v>
      </c>
      <c r="GE42" s="54">
        <f t="shared" si="266"/>
        <v>12.12</v>
      </c>
      <c r="GF42" s="54">
        <f t="shared" si="266"/>
        <v>19.406599999999997</v>
      </c>
      <c r="GG42" s="54">
        <f t="shared" si="266"/>
        <v>7.7239800000000001</v>
      </c>
      <c r="GH42" s="54">
        <f t="shared" si="266"/>
        <v>7.7239800000000001</v>
      </c>
      <c r="GI42" s="54">
        <f t="shared" si="266"/>
        <v>7.7239800000000001</v>
      </c>
      <c r="GJ42" s="54">
        <f t="shared" si="266"/>
        <v>7.7239800000000001</v>
      </c>
      <c r="GK42" s="55"/>
      <c r="GL42" s="54">
        <f t="shared" si="267"/>
        <v>0</v>
      </c>
      <c r="GM42" s="54">
        <f t="shared" si="267"/>
        <v>0</v>
      </c>
      <c r="GN42" s="54">
        <f t="shared" si="267"/>
        <v>0</v>
      </c>
      <c r="GO42" s="54">
        <f t="shared" si="267"/>
        <v>0</v>
      </c>
      <c r="GP42" s="54">
        <f t="shared" si="267"/>
        <v>0</v>
      </c>
      <c r="GQ42" s="54">
        <f t="shared" si="267"/>
        <v>0</v>
      </c>
      <c r="GR42" s="54"/>
    </row>
    <row r="43" spans="1:200">
      <c r="D43" s="117"/>
      <c r="E43" s="118" t="s">
        <v>8</v>
      </c>
      <c r="F43" s="118"/>
      <c r="G43" s="119"/>
      <c r="H43" s="120"/>
      <c r="I43" s="120"/>
      <c r="J43" s="128">
        <f>+AVERAGE(J39:J42)</f>
        <v>5.133562553357237E-2</v>
      </c>
      <c r="K43" s="128">
        <f>+AVERAGE(K39:K42)</f>
        <v>2.3659638144948626E-2</v>
      </c>
      <c r="L43" s="128">
        <f>+AVERAGE(L40:L42)</f>
        <v>-6.9807353956314443E-3</v>
      </c>
      <c r="M43" s="128">
        <f>+AVERAGE(M40:M42)</f>
        <v>-1.4753304123467908E-3</v>
      </c>
      <c r="N43" s="128">
        <f>+AVERAGE(N40:N42)</f>
        <v>2.9707913237142627E-2</v>
      </c>
      <c r="O43" s="128">
        <f>+AVERAGE(O40:O42)</f>
        <v>2.9707913237142627E-2</v>
      </c>
      <c r="P43" s="309">
        <f>+AVERAGE(P40:P42)</f>
        <v>2.9707913237142627E-2</v>
      </c>
      <c r="Q43" s="128"/>
      <c r="R43" s="128">
        <f>+AVERAGE(R40:R42)</f>
        <v>1.3516591143245809E-2</v>
      </c>
      <c r="S43" s="128">
        <f>+AVERAGE(S40:S42)</f>
        <v>1.0519703033170076E-2</v>
      </c>
      <c r="T43" s="309"/>
      <c r="U43" s="128">
        <f>+AVERAGE(U40:U42)</f>
        <v>2.3898186478752315E-3</v>
      </c>
      <c r="V43" s="12">
        <f>+AVERAGE(V40:V42)</f>
        <v>7.6773075402885055E-2</v>
      </c>
      <c r="W43" s="263">
        <f>+AVERAGE(W40:W42)</f>
        <v>7.6759211067981947E-2</v>
      </c>
      <c r="X43" s="263">
        <f>+AVERAGE(X40:X42)</f>
        <v>7.6759211067981947E-2</v>
      </c>
      <c r="Y43" s="263">
        <f>+AVERAGE(Y40:Y42)</f>
        <v>7.6759211067981947E-2</v>
      </c>
      <c r="Z43" s="13"/>
      <c r="AA43" s="103"/>
      <c r="AB43" s="103"/>
      <c r="AC43" s="103"/>
      <c r="AD43" s="103"/>
      <c r="AE43" s="311"/>
      <c r="AF43" s="311"/>
      <c r="AG43" s="311"/>
      <c r="AH43" s="13"/>
      <c r="AI43" s="12">
        <f t="shared" ref="AI43:AP43" si="283">+AVERAGE(AI40:AI42)</f>
        <v>5.2941074499301834E-2</v>
      </c>
      <c r="AJ43" s="13"/>
      <c r="AK43" s="12">
        <f t="shared" si="283"/>
        <v>5.3438193844931481E-2</v>
      </c>
      <c r="AL43" s="12">
        <f t="shared" si="283"/>
        <v>4.829329306687772E-2</v>
      </c>
      <c r="AM43" s="12">
        <f t="shared" si="283"/>
        <v>5.1524365158569799E-2</v>
      </c>
      <c r="AN43" s="12">
        <f t="shared" si="283"/>
        <v>4.7827376461287492E-2</v>
      </c>
      <c r="AO43" s="12">
        <f t="shared" ref="AO43" si="284">+AVERAGE(AO40:AO42)</f>
        <v>4.7827376461287492E-2</v>
      </c>
      <c r="AP43" s="263">
        <f t="shared" si="283"/>
        <v>4.7827376461287492E-2</v>
      </c>
      <c r="AQ43" s="13"/>
      <c r="AR43" s="12">
        <f t="shared" ref="AR43:AX43" si="285">+AVERAGE(AR40:AR42)</f>
        <v>6.1153696783160599E-2</v>
      </c>
      <c r="AS43" s="12">
        <f t="shared" si="285"/>
        <v>6.1324996914129168E-2</v>
      </c>
      <c r="AT43" s="12">
        <f t="shared" si="285"/>
        <v>5.6569252764661029E-2</v>
      </c>
      <c r="AU43" s="12">
        <f t="shared" si="285"/>
        <v>6.3875218400836486E-2</v>
      </c>
      <c r="AV43" s="263">
        <f t="shared" si="285"/>
        <v>5.9080443816217229E-2</v>
      </c>
      <c r="AW43" s="263">
        <f t="shared" ref="AW43" si="286">+AVERAGE(AW40:AW42)</f>
        <v>5.9080443816217229E-2</v>
      </c>
      <c r="AX43" s="263">
        <f t="shared" si="285"/>
        <v>5.9080443816217229E-2</v>
      </c>
      <c r="AY43" s="13"/>
      <c r="AZ43" s="263">
        <f>+AVERAGE(AZ40:AZ42)</f>
        <v>1.6399376461287495E-2</v>
      </c>
      <c r="BA43" s="263">
        <f>+AVERAGE(BA40:BA42)</f>
        <v>1.3939469992094371E-2</v>
      </c>
      <c r="BB43" s="264"/>
    </row>
    <row r="44" spans="1:200">
      <c r="A44" s="3"/>
      <c r="B44" s="3"/>
      <c r="D44" s="14"/>
      <c r="E44" s="121"/>
      <c r="F44" s="121"/>
      <c r="G44" s="122"/>
      <c r="H44" s="123"/>
      <c r="I44" s="123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AI44" s="129"/>
      <c r="AK44" s="129"/>
      <c r="AL44" s="129"/>
    </row>
    <row r="45" spans="1:200">
      <c r="D45" s="117"/>
      <c r="E45" s="118" t="s">
        <v>140</v>
      </c>
      <c r="F45" s="118"/>
      <c r="G45" s="119"/>
      <c r="H45" s="120"/>
      <c r="I45" s="120"/>
      <c r="J45" s="128">
        <f>+AVERAGE(J39:J42,J30:J34,J22:J24,J10:J18)</f>
        <v>5.8563344554555641E-2</v>
      </c>
      <c r="K45" s="128">
        <f>+AVERAGE(K39:K42,K30:K35,K22:K24,K10:K18)</f>
        <v>7.4984517598757988E-2</v>
      </c>
      <c r="L45" s="128">
        <f>+AVERAGE(L40:L42,L30:L35,L22:L24,L10:L18)</f>
        <v>-0.1638505756618629</v>
      </c>
      <c r="M45" s="128">
        <f>+AVERAGE(M40:M42,M30:M35,M22:M24,M10:M18)</f>
        <v>6.6415328981577412E-2</v>
      </c>
      <c r="N45" s="128">
        <f>+AVERAGE(N40:N42,N30:N35,N22:N24,N10:N18)</f>
        <v>8.6078067727656388E-2</v>
      </c>
      <c r="O45" s="128">
        <f>+AVERAGE(O40:O42,O30:O35,O22:O24,O10:O18)</f>
        <v>7.5257297695466005E-2</v>
      </c>
      <c r="P45" s="309">
        <f>+AVERAGE(P40:P42,P30:P35,P22:P24,P10:P18)</f>
        <v>9.0073256636761606E-2</v>
      </c>
      <c r="Q45" s="128"/>
      <c r="R45" s="128">
        <f>+AVERAGE(R40:R42,R30:R34,R22:R24,R10:R18)</f>
        <v>3.6416651973376839E-2</v>
      </c>
      <c r="S45" s="128">
        <f>+AVERAGE(S40:S42,S30:S35,S22:S24,S10:S18)</f>
        <v>4.1805974697448331E-2</v>
      </c>
      <c r="T45" s="309"/>
      <c r="U45" s="128">
        <f>+AVERAGE(U40:U42,U30:U35,U22:U24,U10:U18)</f>
        <v>4.5025865038466964E-2</v>
      </c>
      <c r="V45" s="12">
        <f>+AVERAGE(V40:V42,V30:V35,V22:V24,V10:V18)</f>
        <v>5.5730694568579771E-2</v>
      </c>
      <c r="W45" s="12">
        <f>+AVERAGE(W40:W42,W30:W35,W22:W24,W10:W18)</f>
        <v>6.0022432540978672E-2</v>
      </c>
      <c r="X45" s="12">
        <f>+AVERAGE(X40:X42,X30:X35,X22:X24,X10:X18)</f>
        <v>6.5469459611452507E-2</v>
      </c>
      <c r="Y45" s="263">
        <f>+AVERAGE(Y40:Y42,Y30:Y35,Y22:Y24,Y10:Y18)</f>
        <v>6.4666633334345802E-2</v>
      </c>
      <c r="Z45" s="13"/>
      <c r="AA45" s="103">
        <f>+AVERAGE(AA40:AA42,AA30:AA34,AA22:AA24,AA10:AA18)</f>
        <v>0.82480636450328115</v>
      </c>
      <c r="AB45" s="103">
        <f>+AVERAGE(AB40:AB42,AB30:AB35,AB22:AB24,AB10:AB18)</f>
        <v>0.76667330806919021</v>
      </c>
      <c r="AC45" s="103">
        <f>+AVERAGE(AC40:AC42,AC30:AC35,AC22:AC24,AC10:AC18)</f>
        <v>0.73325981014823449</v>
      </c>
      <c r="AD45" s="103">
        <f>+AVERAGE(AD40:AD42,AD30:AD35,AD22:AD24,AD10:AD18)</f>
        <v>0.70666119484458101</v>
      </c>
      <c r="AE45" s="311">
        <f>+AVERAGE(AE40:AE42,AE30:AE35,AE22:AE24,AE10:AE18)</f>
        <v>0.70537564283290954</v>
      </c>
      <c r="AF45" s="311">
        <f>+AVERAGE(AF40:AF42,AF30:AF35,AF22:AF24,AF10:AF18)</f>
        <v>0.70210006857613971</v>
      </c>
      <c r="AG45" s="311"/>
      <c r="AH45" s="13"/>
      <c r="AI45" s="12">
        <f>+AVERAGE(AI40:AI42,AI30:AI34,AI22:AI24,AI10:AI18)</f>
        <v>6.9115466431793476E-2</v>
      </c>
      <c r="AJ45" s="13"/>
      <c r="AK45" s="12">
        <f t="shared" ref="AK45:AP45" si="287">+AVERAGE(AK40:AK42,AK30:AK35,AK22:AK24,AK10:AK18)</f>
        <v>6.1570517288923113E-2</v>
      </c>
      <c r="AL45" s="12">
        <f t="shared" si="287"/>
        <v>7.0297484924421574E-2</v>
      </c>
      <c r="AM45" s="12">
        <f t="shared" si="287"/>
        <v>7.5310898545641311E-2</v>
      </c>
      <c r="AN45" s="12">
        <f t="shared" si="287"/>
        <v>7.8993378574184231E-2</v>
      </c>
      <c r="AO45" s="12">
        <f t="shared" si="287"/>
        <v>8.241356449644624E-2</v>
      </c>
      <c r="AP45" s="263">
        <f t="shared" si="287"/>
        <v>8.8982455173671232E-2</v>
      </c>
      <c r="AQ45" s="13"/>
      <c r="AR45" s="12">
        <f>+AVERAGE(AR40:AR42,AR30:AR34,AR22:AR24,AR10:AR18)</f>
        <v>8.3921721579335196E-2</v>
      </c>
      <c r="AS45" s="12">
        <f t="shared" ref="AS45:AX45" si="288">+AVERAGE(AS40:AS42,AS30:AS35,AS22:AS24,AS10:AS18)</f>
        <v>7.5430816370524553E-2</v>
      </c>
      <c r="AT45" s="12">
        <f t="shared" si="288"/>
        <v>7.7300602615592573E-2</v>
      </c>
      <c r="AU45" s="12">
        <f t="shared" si="288"/>
        <v>8.291703719422068E-2</v>
      </c>
      <c r="AV45" s="263">
        <f t="shared" si="288"/>
        <v>8.3371875680006508E-2</v>
      </c>
      <c r="AW45" s="263">
        <f t="shared" si="288"/>
        <v>8.7820804801620661E-2</v>
      </c>
      <c r="AX45" s="263">
        <f t="shared" si="288"/>
        <v>9.5573391954629314E-2</v>
      </c>
      <c r="AY45" s="13"/>
      <c r="AZ45" s="263">
        <f>+AVERAGE(AZ40:AZ42,AZ30:AZ35,AZ22:AZ24,AZ10:AZ18)</f>
        <v>2.9566664496446265E-2</v>
      </c>
      <c r="BA45" s="263">
        <f>+AVERAGE(BA40:BA42,BA30:BA35,BA22:BA24,BA10:BA18)</f>
        <v>2.8824577235312742E-2</v>
      </c>
      <c r="BB45" s="264"/>
    </row>
    <row r="46" spans="1:200">
      <c r="A46" s="3"/>
      <c r="B46" s="3"/>
      <c r="D46" s="5"/>
      <c r="E46" s="124"/>
      <c r="F46" s="124"/>
      <c r="G46" s="125"/>
      <c r="H46" s="111"/>
      <c r="I46" s="111"/>
      <c r="J46" s="126"/>
      <c r="K46" s="126"/>
      <c r="L46" s="126"/>
      <c r="R46" s="126"/>
      <c r="S46" s="126"/>
      <c r="T46" s="126"/>
      <c r="U46" s="126"/>
      <c r="AI46" s="126"/>
      <c r="AK46" s="126"/>
      <c r="AL46" s="126"/>
    </row>
    <row r="47" spans="1:200">
      <c r="D47" s="108"/>
      <c r="E47" s="265" t="s">
        <v>238</v>
      </c>
    </row>
    <row r="48" spans="1:200" ht="11.45" customHeight="1">
      <c r="A48" s="105"/>
      <c r="B48" s="106">
        <f>+Bloomberg!D15/100</f>
        <v>1.7103E-2</v>
      </c>
      <c r="D48" s="19"/>
      <c r="E48" s="27" t="s">
        <v>239</v>
      </c>
      <c r="F48" s="27" t="s">
        <v>11</v>
      </c>
      <c r="G48" s="28">
        <f>+'Global Properties'!G43</f>
        <v>146.54</v>
      </c>
      <c r="H48" s="29">
        <f>+'Global Properties'!H43</f>
        <v>45137.476911220001</v>
      </c>
      <c r="I48" s="29"/>
      <c r="J48" s="30">
        <f>1/'Global Properties'!V43</f>
        <v>6.067285382830627E-2</v>
      </c>
      <c r="K48" s="30">
        <f>1/'Global Properties'!W43</f>
        <v>6.7189845775897372E-2</v>
      </c>
      <c r="L48" s="30">
        <f>1/'Global Properties'!X43</f>
        <v>7.1625494745461996E-2</v>
      </c>
      <c r="M48" s="30">
        <f>1/'Global Properties'!Y43</f>
        <v>7.6470588235294124E-2</v>
      </c>
      <c r="N48" s="30">
        <f>1/'Global Properties'!Z43</f>
        <v>8.2721441244711355E-2</v>
      </c>
      <c r="O48" s="30"/>
      <c r="P48" s="30"/>
      <c r="Q48" s="31"/>
      <c r="R48" s="30">
        <f>+'Global Properties'!AF43</f>
        <v>3.5143987989627409E-2</v>
      </c>
      <c r="S48" s="30">
        <f>+'Global Properties'!AG43</f>
        <v>4.1237887266275426E-2</v>
      </c>
      <c r="T48" s="30"/>
      <c r="U48" s="30">
        <f>+'Global Properties'!AH43</f>
        <v>4.4438378599699749E-2</v>
      </c>
      <c r="V48" s="30">
        <f>+'Global Properties'!AI43</f>
        <v>4.8833083117237622E-2</v>
      </c>
      <c r="W48" s="30">
        <f>+'Global Properties'!AJ43</f>
        <v>5.4135389654701785E-2</v>
      </c>
      <c r="X48" s="30">
        <f>+'Global Properties'!AK43</f>
        <v>5.6749010509076027E-2</v>
      </c>
      <c r="Y48" s="30">
        <f>+'Global Properties'!AL43</f>
        <v>5.9103316500614164E-2</v>
      </c>
      <c r="Z48" s="31"/>
      <c r="AA48" s="57" t="s">
        <v>9</v>
      </c>
      <c r="AB48" s="57" t="s">
        <v>9</v>
      </c>
      <c r="AC48" s="57" t="s">
        <v>9</v>
      </c>
      <c r="AD48" s="57" t="s">
        <v>9</v>
      </c>
      <c r="AE48" s="57"/>
      <c r="AF48" s="57"/>
      <c r="AG48" s="57"/>
      <c r="AH48" s="31"/>
      <c r="AI48" s="30">
        <f>1/'Global Properties'!L43</f>
        <v>5.2651070178490612E-2</v>
      </c>
      <c r="AJ48" s="31"/>
      <c r="AK48" s="30">
        <f>1/'Global Properties'!M43</f>
        <v>5.6033038961398905E-2</v>
      </c>
      <c r="AL48" s="30">
        <f>1/'Global Properties'!N43</f>
        <v>5.8396063242945787E-2</v>
      </c>
      <c r="AM48" s="30">
        <f>1/'Global Properties'!O43</f>
        <v>5.9546031322597642E-2</v>
      </c>
      <c r="AN48" s="30">
        <f>1/'Global Properties'!P43</f>
        <v>6.1588796772240467E-2</v>
      </c>
      <c r="AO48" s="30">
        <f>1/'Global Properties'!Q43</f>
        <v>6.3652916692425704E-2</v>
      </c>
      <c r="AP48" s="30">
        <f>1/'Global Properties'!R43</f>
        <v>6.5309452989443184E-2</v>
      </c>
      <c r="AQ48" s="31"/>
      <c r="AR48" s="30" t="s">
        <v>9</v>
      </c>
      <c r="AS48" s="30" t="s">
        <v>9</v>
      </c>
      <c r="AT48" s="30" t="s">
        <v>9</v>
      </c>
      <c r="AU48" s="30" t="s">
        <v>9</v>
      </c>
      <c r="AV48" s="30"/>
      <c r="AW48" s="30"/>
      <c r="AX48" s="30"/>
      <c r="AY48" s="31"/>
      <c r="AZ48" s="30">
        <f>+AN48-B48</f>
        <v>4.4485796772240467E-2</v>
      </c>
      <c r="BA48" s="30">
        <f>+AL48-B48</f>
        <v>4.1293063242945786E-2</v>
      </c>
      <c r="BB48" s="19"/>
      <c r="BC48" s="25"/>
      <c r="BD48" s="18"/>
      <c r="BE48" s="25"/>
      <c r="BF48" s="32"/>
      <c r="BG48" s="25"/>
      <c r="BH48" s="32"/>
      <c r="BI48" s="25"/>
      <c r="BJ48" s="32"/>
      <c r="BK48" s="25"/>
      <c r="BL48" s="25"/>
      <c r="BM48" s="32"/>
      <c r="BN48" s="25"/>
      <c r="BO48" s="32"/>
      <c r="BP48" s="25"/>
      <c r="BQ48" s="32"/>
      <c r="BR48" s="25"/>
      <c r="BS48" s="32"/>
      <c r="BT48" s="25"/>
      <c r="BU48" s="34"/>
      <c r="BV48" s="25"/>
      <c r="BW48" s="41"/>
      <c r="BY48" s="48"/>
      <c r="BZ48" s="88"/>
      <c r="CA48" s="88"/>
      <c r="CB48" s="88"/>
      <c r="CC48" s="88"/>
      <c r="CD48" s="88"/>
      <c r="CE48" s="88"/>
      <c r="CF48" s="88"/>
      <c r="CG48" s="88"/>
      <c r="CH48" s="39"/>
      <c r="CI48" s="99"/>
      <c r="CJ48" s="34"/>
      <c r="CK48" s="34"/>
      <c r="CL48" s="34"/>
      <c r="CM48" s="34"/>
      <c r="CN48" s="34"/>
      <c r="CO48" s="34"/>
      <c r="CP48" s="34"/>
      <c r="CQ48" s="39"/>
      <c r="CR48" s="99"/>
      <c r="CS48" s="34"/>
      <c r="CT48" s="34"/>
      <c r="CU48" s="34"/>
      <c r="CV48" s="34"/>
      <c r="CW48" s="34"/>
      <c r="CX48" s="34"/>
      <c r="CY48" s="34"/>
      <c r="CZ48" s="39"/>
      <c r="DA48" s="34"/>
      <c r="DB48" s="34"/>
      <c r="DC48" s="34"/>
      <c r="DD48" s="34"/>
      <c r="DE48" s="34"/>
      <c r="DF48" s="34"/>
      <c r="DG48" s="34"/>
      <c r="DH48" s="39"/>
      <c r="DI48" s="34"/>
      <c r="DJ48" s="34"/>
      <c r="DK48" s="34"/>
      <c r="DL48" s="34"/>
      <c r="DM48" s="34"/>
      <c r="DN48" s="34"/>
      <c r="DO48" s="34"/>
      <c r="DP48" s="39"/>
      <c r="DQ48" s="34"/>
      <c r="DR48" s="34"/>
      <c r="DS48" s="34"/>
      <c r="DT48" s="34"/>
      <c r="DU48" s="34"/>
      <c r="DV48" s="34"/>
      <c r="DW48" s="34"/>
      <c r="DX48"/>
      <c r="DY48" s="34"/>
      <c r="DZ48" s="34"/>
      <c r="EA48" s="34"/>
      <c r="EB48" s="34"/>
      <c r="EC48" s="34"/>
      <c r="ED48" s="34"/>
      <c r="EE48" s="34"/>
      <c r="EG48" s="34"/>
      <c r="EH48" s="34"/>
      <c r="EI48" s="34"/>
      <c r="EJ48" s="34"/>
      <c r="EK48" s="34"/>
      <c r="EL48" s="34"/>
      <c r="EM48" s="34"/>
      <c r="EO48" s="101"/>
      <c r="EP48" s="101"/>
      <c r="EQ48" s="101"/>
      <c r="ER48" s="101"/>
      <c r="ES48" s="101"/>
      <c r="ET48" s="101"/>
      <c r="EU48" s="101"/>
      <c r="EW48" s="34"/>
      <c r="EX48" s="34"/>
      <c r="EY48" s="34"/>
      <c r="EZ48" s="34"/>
      <c r="FA48" s="34"/>
      <c r="FB48" s="34"/>
      <c r="FC48" s="34"/>
      <c r="FE48" s="54"/>
      <c r="FF48" s="54"/>
      <c r="FG48" s="54"/>
      <c r="FH48" s="54"/>
      <c r="FI48" s="54"/>
      <c r="FJ48" s="54"/>
      <c r="FK48" s="54"/>
      <c r="FL48" s="55"/>
      <c r="FM48" s="54"/>
      <c r="FN48" s="54"/>
      <c r="FO48" s="54"/>
      <c r="FP48" s="54"/>
      <c r="FQ48" s="54"/>
      <c r="FR48" s="54"/>
      <c r="FS48" s="54"/>
      <c r="FT48" s="55"/>
      <c r="FU48" s="55"/>
      <c r="FV48" s="54"/>
      <c r="FW48" s="54"/>
      <c r="FX48" s="54"/>
      <c r="FY48" s="54"/>
      <c r="FZ48" s="54"/>
      <c r="GA48" s="54"/>
      <c r="GB48" s="54"/>
      <c r="GC48" s="55"/>
      <c r="GD48" s="54"/>
      <c r="GE48" s="54"/>
      <c r="GF48" s="54"/>
      <c r="GG48" s="54"/>
      <c r="GH48" s="54"/>
      <c r="GI48" s="54"/>
      <c r="GJ48" s="54"/>
      <c r="GK48" s="55"/>
      <c r="GL48" s="54"/>
      <c r="GM48" s="54"/>
      <c r="GN48" s="54"/>
      <c r="GO48" s="54"/>
      <c r="GP48" s="54"/>
      <c r="GQ48" s="54"/>
      <c r="GR48" s="54"/>
    </row>
    <row r="49" spans="1:200" ht="11.45" customHeight="1">
      <c r="A49" s="37"/>
      <c r="B49" s="64">
        <f>+B48</f>
        <v>1.7103E-2</v>
      </c>
      <c r="D49" s="19"/>
      <c r="E49" s="27" t="s">
        <v>247</v>
      </c>
      <c r="F49" s="27" t="s">
        <v>11</v>
      </c>
      <c r="G49" s="28">
        <f>+'Global Properties'!G45</f>
        <v>82.84</v>
      </c>
      <c r="H49" s="29">
        <f>+'Global Properties'!H45</f>
        <v>52247.205727759996</v>
      </c>
      <c r="I49" s="29"/>
      <c r="J49" s="30">
        <f>1/'Global Properties'!V45</f>
        <v>2.2440849830999518E-2</v>
      </c>
      <c r="K49" s="30">
        <f>1/'Global Properties'!W45</f>
        <v>2.6629647513278606E-2</v>
      </c>
      <c r="L49" s="30">
        <f>1/'Global Properties'!X45</f>
        <v>3.1011588604538867E-2</v>
      </c>
      <c r="M49" s="30">
        <f>1/'Global Properties'!Y45</f>
        <v>3.3824239497827133E-2</v>
      </c>
      <c r="N49" s="30">
        <f>1/'Global Properties'!Z45</f>
        <v>3.6431675519072913E-2</v>
      </c>
      <c r="O49" s="30"/>
      <c r="P49" s="30"/>
      <c r="Q49" s="31"/>
      <c r="R49" s="30">
        <f>+'Global Properties'!AF45</f>
        <v>1.5934331240946401E-2</v>
      </c>
      <c r="S49" s="30">
        <f>+'Global Properties'!AG45</f>
        <v>1.8348623853211007E-2</v>
      </c>
      <c r="T49" s="30"/>
      <c r="U49" s="30">
        <f>+'Global Properties'!AH45</f>
        <v>2.0280057943022695E-2</v>
      </c>
      <c r="V49" s="30">
        <f>+'Global Properties'!AI45</f>
        <v>2.1064703042008692E-2</v>
      </c>
      <c r="W49" s="30">
        <f>+'Global Properties'!AJ45</f>
        <v>2.3140994688556255E-2</v>
      </c>
      <c r="X49" s="30">
        <f>+'Global Properties'!AK45</f>
        <v>2.5591501690004827E-2</v>
      </c>
      <c r="Y49" s="30">
        <f>+'Global Properties'!AL45</f>
        <v>2.6871076774505068E-2</v>
      </c>
      <c r="Z49" s="31"/>
      <c r="AA49" s="57" t="s">
        <v>9</v>
      </c>
      <c r="AB49" s="57" t="s">
        <v>9</v>
      </c>
      <c r="AC49" s="57" t="s">
        <v>9</v>
      </c>
      <c r="AD49" s="57" t="s">
        <v>9</v>
      </c>
      <c r="AE49" s="57"/>
      <c r="AF49" s="57"/>
      <c r="AG49" s="57"/>
      <c r="AH49" s="31"/>
      <c r="AI49" s="30">
        <f>1/'Global Properties'!L45</f>
        <v>1.5389669042544853E-2</v>
      </c>
      <c r="AJ49" s="31"/>
      <c r="AK49" s="30">
        <f>1/'Global Properties'!M45</f>
        <v>1.8671399831558799E-2</v>
      </c>
      <c r="AL49" s="30">
        <f>1/'Global Properties'!N45</f>
        <v>2.3821274603559057E-2</v>
      </c>
      <c r="AM49" s="30">
        <f>1/'Global Properties'!O45</f>
        <v>2.5408688245899765E-2</v>
      </c>
      <c r="AN49" s="30">
        <f>1/'Global Properties'!P45</f>
        <v>2.8636472775368269E-2</v>
      </c>
      <c r="AO49" s="30">
        <f>1/'Global Properties'!Q45</f>
        <v>3.2954676046043074E-2</v>
      </c>
      <c r="AP49" s="30">
        <f>1/'Global Properties'!R45</f>
        <v>3.6168974010625222E-2</v>
      </c>
      <c r="AQ49" s="31"/>
      <c r="AR49" s="30" t="s">
        <v>9</v>
      </c>
      <c r="AS49" s="30" t="s">
        <v>9</v>
      </c>
      <c r="AT49" s="30" t="s">
        <v>9</v>
      </c>
      <c r="AU49" s="30" t="s">
        <v>9</v>
      </c>
      <c r="AV49" s="30"/>
      <c r="AW49" s="30"/>
      <c r="AX49" s="30"/>
      <c r="AY49" s="31"/>
      <c r="AZ49" s="30">
        <f t="shared" ref="AZ49:AZ57" si="289">+AN49-B49</f>
        <v>1.1533472775368269E-2</v>
      </c>
      <c r="BA49" s="30">
        <f t="shared" ref="BA49:BA57" si="290">+AL49-B49</f>
        <v>6.7182746035590567E-3</v>
      </c>
      <c r="BB49" s="19"/>
      <c r="BC49" s="25"/>
      <c r="BD49" s="18"/>
      <c r="BE49" s="25"/>
      <c r="BF49" s="32"/>
      <c r="BG49" s="25"/>
      <c r="BH49" s="32"/>
      <c r="BI49" s="25"/>
      <c r="BJ49" s="32"/>
      <c r="BK49" s="25"/>
      <c r="BL49" s="25"/>
      <c r="BM49" s="32"/>
      <c r="BN49" s="25"/>
      <c r="BO49" s="32"/>
      <c r="BP49" s="25"/>
      <c r="BQ49" s="32"/>
      <c r="BR49" s="25"/>
      <c r="BS49" s="32"/>
      <c r="BT49" s="25"/>
      <c r="BU49" s="34"/>
      <c r="BV49" s="25"/>
      <c r="BW49" s="41"/>
      <c r="BY49" s="48"/>
      <c r="BZ49" s="88"/>
      <c r="CA49" s="88"/>
      <c r="CB49" s="88"/>
      <c r="CC49" s="88"/>
      <c r="CD49" s="88"/>
      <c r="CE49" s="88"/>
      <c r="CF49" s="88"/>
      <c r="CG49" s="88"/>
      <c r="CH49" s="39"/>
      <c r="CI49" s="99"/>
      <c r="CJ49" s="34"/>
      <c r="CK49" s="34"/>
      <c r="CL49" s="34"/>
      <c r="CM49" s="34"/>
      <c r="CN49" s="34"/>
      <c r="CO49" s="34"/>
      <c r="CP49" s="34"/>
      <c r="CQ49" s="39"/>
      <c r="CR49" s="99"/>
      <c r="CS49" s="34"/>
      <c r="CT49" s="34"/>
      <c r="CU49" s="34"/>
      <c r="CV49" s="34"/>
      <c r="CW49" s="34"/>
      <c r="CX49" s="34"/>
      <c r="CY49" s="34"/>
      <c r="CZ49" s="39"/>
      <c r="DA49" s="34"/>
      <c r="DB49" s="34"/>
      <c r="DC49" s="34"/>
      <c r="DD49" s="34"/>
      <c r="DE49" s="34"/>
      <c r="DF49" s="34"/>
      <c r="DG49" s="34"/>
      <c r="DH49" s="39"/>
      <c r="DI49" s="34"/>
      <c r="DJ49" s="34"/>
      <c r="DK49" s="34"/>
      <c r="DL49" s="34"/>
      <c r="DM49" s="34"/>
      <c r="DN49" s="34"/>
      <c r="DO49" s="34"/>
      <c r="DP49" s="39"/>
      <c r="DQ49" s="34"/>
      <c r="DR49" s="34"/>
      <c r="DS49" s="34"/>
      <c r="DT49" s="34"/>
      <c r="DU49" s="34"/>
      <c r="DV49" s="34"/>
      <c r="DW49" s="34"/>
      <c r="DX49"/>
      <c r="DY49" s="34"/>
      <c r="DZ49" s="34"/>
      <c r="EA49" s="34"/>
      <c r="EB49" s="34"/>
      <c r="EC49" s="34"/>
      <c r="ED49" s="34"/>
      <c r="EE49" s="34"/>
      <c r="EG49" s="34"/>
      <c r="EH49" s="34"/>
      <c r="EI49" s="34"/>
      <c r="EJ49" s="34"/>
      <c r="EK49" s="34"/>
      <c r="EL49" s="34"/>
      <c r="EM49" s="34"/>
      <c r="EO49" s="101"/>
      <c r="EP49" s="101"/>
      <c r="EQ49" s="101"/>
      <c r="ER49" s="101"/>
      <c r="ES49" s="101"/>
      <c r="ET49" s="101"/>
      <c r="EU49" s="101"/>
      <c r="EW49" s="34"/>
      <c r="EX49" s="34"/>
      <c r="EY49" s="34"/>
      <c r="EZ49" s="34"/>
      <c r="FA49" s="34"/>
      <c r="FB49" s="34"/>
      <c r="FC49" s="34"/>
      <c r="FE49" s="54"/>
      <c r="FF49" s="54"/>
      <c r="FG49" s="54"/>
      <c r="FH49" s="54"/>
      <c r="FI49" s="54"/>
      <c r="FJ49" s="54"/>
      <c r="FK49" s="54"/>
      <c r="FL49" s="55"/>
      <c r="FM49" s="54"/>
      <c r="FN49" s="54"/>
      <c r="FO49" s="54"/>
      <c r="FP49" s="54"/>
      <c r="FQ49" s="54"/>
      <c r="FR49" s="54"/>
      <c r="FS49" s="54"/>
      <c r="FT49" s="55"/>
      <c r="FU49" s="55"/>
      <c r="FV49" s="54"/>
      <c r="FW49" s="54"/>
      <c r="FX49" s="54"/>
      <c r="FY49" s="54"/>
      <c r="FZ49" s="54"/>
      <c r="GA49" s="54"/>
      <c r="GB49" s="54"/>
      <c r="GC49" s="55"/>
      <c r="GD49" s="54"/>
      <c r="GE49" s="54"/>
      <c r="GF49" s="54"/>
      <c r="GG49" s="54"/>
      <c r="GH49" s="54"/>
      <c r="GI49" s="54"/>
      <c r="GJ49" s="54"/>
      <c r="GK49" s="55"/>
      <c r="GL49" s="54"/>
      <c r="GM49" s="54"/>
      <c r="GN49" s="54"/>
      <c r="GO49" s="54"/>
      <c r="GP49" s="54"/>
      <c r="GQ49" s="54"/>
      <c r="GR49" s="54"/>
    </row>
    <row r="50" spans="1:200" ht="11.45" customHeight="1">
      <c r="A50" s="37"/>
      <c r="B50" s="64">
        <f t="shared" ref="B50:B57" si="291">+B49</f>
        <v>1.7103E-2</v>
      </c>
      <c r="D50" s="6"/>
      <c r="E50" s="20" t="s">
        <v>241</v>
      </c>
      <c r="F50" s="20" t="s">
        <v>11</v>
      </c>
      <c r="G50" s="21">
        <f>+'Global Properties'!G46</f>
        <v>28.28</v>
      </c>
      <c r="H50" s="22">
        <f>+'Global Properties'!H46</f>
        <v>3994.9850312400004</v>
      </c>
      <c r="I50" s="22"/>
      <c r="J50" s="23">
        <f>1/'Global Properties'!V46</f>
        <v>0.12666195190947666</v>
      </c>
      <c r="K50" s="23">
        <f>1/'Global Properties'!W46</f>
        <v>0.13772984441301273</v>
      </c>
      <c r="L50" s="23">
        <f>1/'Global Properties'!X46</f>
        <v>0.14391796322489392</v>
      </c>
      <c r="M50" s="23">
        <f>1/'Global Properties'!Y46</f>
        <v>0.13932107496463933</v>
      </c>
      <c r="N50" s="23">
        <f>1/'Global Properties'!Z46</f>
        <v>0.13285007072135785</v>
      </c>
      <c r="O50" s="23"/>
      <c r="P50" s="23"/>
      <c r="Q50" s="24"/>
      <c r="R50" s="23">
        <f>+'Global Properties'!AF46</f>
        <v>8.8826025459688818E-2</v>
      </c>
      <c r="S50" s="23">
        <f>+'Global Properties'!AG46</f>
        <v>0.16371994342291374</v>
      </c>
      <c r="T50" s="23"/>
      <c r="U50" s="23">
        <f>+'Global Properties'!AH46</f>
        <v>0.16789250353606788</v>
      </c>
      <c r="V50" s="23">
        <f>+'Global Properties'!AI46</f>
        <v>0.1014144271570014</v>
      </c>
      <c r="W50" s="23">
        <f>+'Global Properties'!AJ46</f>
        <v>0.10579915134370578</v>
      </c>
      <c r="X50" s="23">
        <f>+'Global Properties'!AK46</f>
        <v>0.10608203677510607</v>
      </c>
      <c r="Y50" s="23">
        <f>+'Global Properties'!AL46</f>
        <v>0.10618811881188119</v>
      </c>
      <c r="Z50" s="24"/>
      <c r="AA50" s="56" t="s">
        <v>9</v>
      </c>
      <c r="AB50" s="56" t="s">
        <v>9</v>
      </c>
      <c r="AC50" s="56" t="s">
        <v>9</v>
      </c>
      <c r="AD50" s="56" t="s">
        <v>9</v>
      </c>
      <c r="AE50" s="56"/>
      <c r="AF50" s="56"/>
      <c r="AG50" s="56"/>
      <c r="AH50" s="24"/>
      <c r="AI50" s="23">
        <f>1/'Global Properties'!L46</f>
        <v>8.4613323329224499E-2</v>
      </c>
      <c r="AJ50" s="24"/>
      <c r="AK50" s="23">
        <f>1/'Global Properties'!M46</f>
        <v>9.0668203011951332E-2</v>
      </c>
      <c r="AL50" s="23">
        <f>1/'Global Properties'!N46</f>
        <v>9.6503885524411817E-2</v>
      </c>
      <c r="AM50" s="23">
        <f>1/'Global Properties'!O46</f>
        <v>9.6387802133018924E-2</v>
      </c>
      <c r="AN50" s="23">
        <f>1/'Global Properties'!P46</f>
        <v>9.4431641567072191E-2</v>
      </c>
      <c r="AO50" s="23">
        <f>1/'Global Properties'!Q46</f>
        <v>7.9939975347017522E-2</v>
      </c>
      <c r="AP50" s="23">
        <f>1/'Global Properties'!R46</f>
        <v>8.1912213945013135E-2</v>
      </c>
      <c r="AQ50" s="24"/>
      <c r="AR50" s="23" t="s">
        <v>9</v>
      </c>
      <c r="AS50" s="23" t="s">
        <v>9</v>
      </c>
      <c r="AT50" s="23" t="s">
        <v>9</v>
      </c>
      <c r="AU50" s="23" t="s">
        <v>9</v>
      </c>
      <c r="AV50" s="23"/>
      <c r="AW50" s="23"/>
      <c r="AX50" s="23"/>
      <c r="AY50" s="24"/>
      <c r="AZ50" s="23">
        <f t="shared" si="289"/>
        <v>7.7328641567072198E-2</v>
      </c>
      <c r="BA50" s="23">
        <f t="shared" si="290"/>
        <v>7.9400885524411824E-2</v>
      </c>
      <c r="BB50" s="6"/>
      <c r="BC50" s="25"/>
      <c r="BD50" s="25"/>
      <c r="BE50" s="25"/>
      <c r="BF50" s="26"/>
      <c r="BG50" s="25"/>
      <c r="BH50" s="26"/>
      <c r="BI50" s="25"/>
      <c r="BJ50" s="26"/>
      <c r="BK50" s="25"/>
      <c r="BL50" s="25"/>
      <c r="BM50" s="26"/>
      <c r="BN50" s="25"/>
      <c r="BO50" s="26"/>
      <c r="BP50" s="25"/>
      <c r="BQ50" s="26"/>
      <c r="BR50" s="25"/>
      <c r="BS50" s="26"/>
      <c r="BT50" s="25"/>
      <c r="BU50" s="33"/>
      <c r="BV50" s="25"/>
      <c r="BW50" s="40"/>
      <c r="BY50" s="48"/>
      <c r="BZ50" s="88"/>
      <c r="CA50" s="88"/>
      <c r="CB50" s="88"/>
      <c r="CC50" s="88"/>
      <c r="CD50" s="88"/>
      <c r="CE50" s="88"/>
      <c r="CF50" s="88"/>
      <c r="CG50" s="88"/>
      <c r="CH50" s="39"/>
      <c r="CI50" s="98"/>
      <c r="CJ50" s="33"/>
      <c r="CK50" s="33"/>
      <c r="CL50" s="33"/>
      <c r="CM50" s="33"/>
      <c r="CN50" s="33"/>
      <c r="CO50" s="33"/>
      <c r="CP50" s="33"/>
      <c r="CQ50" s="39"/>
      <c r="CR50" s="98"/>
      <c r="CS50" s="33"/>
      <c r="CT50" s="33"/>
      <c r="CU50" s="33"/>
      <c r="CV50" s="33"/>
      <c r="CW50" s="33"/>
      <c r="CX50" s="33"/>
      <c r="CY50" s="33"/>
      <c r="CZ50" s="39"/>
      <c r="DA50" s="33"/>
      <c r="DB50" s="33"/>
      <c r="DC50" s="33"/>
      <c r="DD50" s="33"/>
      <c r="DE50" s="33"/>
      <c r="DF50" s="33"/>
      <c r="DG50" s="33"/>
      <c r="DH50" s="39"/>
      <c r="DI50" s="33"/>
      <c r="DJ50" s="33"/>
      <c r="DK50" s="33"/>
      <c r="DL50" s="33"/>
      <c r="DM50" s="33"/>
      <c r="DN50" s="33"/>
      <c r="DO50" s="33"/>
      <c r="DP50" s="39"/>
      <c r="DQ50" s="33"/>
      <c r="DR50" s="33"/>
      <c r="DS50" s="33"/>
      <c r="DT50" s="33"/>
      <c r="DU50" s="33"/>
      <c r="DV50" s="33"/>
      <c r="DW50" s="33"/>
      <c r="DX50"/>
      <c r="DY50" s="33"/>
      <c r="DZ50" s="33"/>
      <c r="EA50" s="33"/>
      <c r="EB50" s="33"/>
      <c r="EC50" s="33"/>
      <c r="ED50" s="33"/>
      <c r="EE50" s="33"/>
      <c r="EG50" s="33"/>
      <c r="EH50" s="33"/>
      <c r="EI50" s="33"/>
      <c r="EJ50" s="33"/>
      <c r="EK50" s="33"/>
      <c r="EL50" s="33"/>
      <c r="EM50" s="33"/>
      <c r="EO50" s="33"/>
      <c r="EP50" s="33"/>
      <c r="EQ50" s="33"/>
      <c r="ER50" s="33"/>
      <c r="ES50" s="33"/>
      <c r="ET50" s="33"/>
      <c r="EU50" s="33"/>
      <c r="EW50" s="33"/>
      <c r="EX50" s="33"/>
      <c r="EY50" s="33"/>
      <c r="EZ50" s="33"/>
      <c r="FA50" s="33"/>
      <c r="FB50" s="33"/>
      <c r="FC50" s="33"/>
      <c r="FE50" s="52"/>
      <c r="FF50" s="52"/>
      <c r="FG50" s="52"/>
      <c r="FH50" s="52"/>
      <c r="FI50" s="52"/>
      <c r="FJ50" s="52"/>
      <c r="FK50" s="52"/>
      <c r="FM50" s="52"/>
      <c r="FN50" s="52"/>
      <c r="FO50" s="52"/>
      <c r="FP50" s="52"/>
      <c r="FQ50" s="52"/>
      <c r="FR50" s="52"/>
      <c r="FS50" s="52"/>
      <c r="FV50" s="52"/>
      <c r="FW50" s="52"/>
      <c r="FX50" s="52"/>
      <c r="FY50" s="52"/>
      <c r="FZ50" s="52"/>
      <c r="GA50" s="52"/>
      <c r="GB50" s="52"/>
      <c r="GD50" s="52"/>
      <c r="GE50" s="52"/>
      <c r="GF50" s="52"/>
      <c r="GG50" s="52"/>
      <c r="GH50" s="52"/>
      <c r="GI50" s="52"/>
      <c r="GJ50" s="52"/>
      <c r="GL50" s="52"/>
      <c r="GM50" s="52"/>
      <c r="GN50" s="52"/>
      <c r="GO50" s="52"/>
      <c r="GP50" s="52"/>
      <c r="GQ50" s="52"/>
      <c r="GR50" s="52"/>
    </row>
    <row r="51" spans="1:200" ht="11.45" customHeight="1">
      <c r="A51" s="37"/>
      <c r="B51" s="64">
        <f t="shared" si="291"/>
        <v>1.7103E-2</v>
      </c>
      <c r="D51" s="19"/>
      <c r="E51" s="27" t="s">
        <v>245</v>
      </c>
      <c r="F51" s="27" t="s">
        <v>11</v>
      </c>
      <c r="G51" s="28">
        <f>+'Global Properties'!G47</f>
        <v>126.64</v>
      </c>
      <c r="H51" s="29">
        <f>+'Global Properties'!H47</f>
        <v>19574.459859999999</v>
      </c>
      <c r="I51" s="29"/>
      <c r="J51" s="30">
        <f>1/'Global Properties'!V47</f>
        <v>4.1495578016424506E-2</v>
      </c>
      <c r="K51" s="30">
        <f>1/'Global Properties'!W47</f>
        <v>4.215887555274795E-2</v>
      </c>
      <c r="L51" s="30">
        <f>1/'Global Properties'!X47</f>
        <v>4.7236260265319019E-2</v>
      </c>
      <c r="M51" s="30">
        <f>1/'Global Properties'!Y47</f>
        <v>4.8847125710675933E-2</v>
      </c>
      <c r="N51" s="30">
        <f>1/'Global Properties'!Z47</f>
        <v>5.0521162349968424E-2</v>
      </c>
      <c r="O51" s="30"/>
      <c r="P51" s="30"/>
      <c r="Q51" s="31"/>
      <c r="R51" s="30">
        <f>+'Global Properties'!AF47</f>
        <v>5.6064434617814275E-2</v>
      </c>
      <c r="S51" s="30">
        <f>+'Global Properties'!AG47</f>
        <v>3.040113708149084E-2</v>
      </c>
      <c r="T51" s="30"/>
      <c r="U51" s="30">
        <f>+'Global Properties'!AH47</f>
        <v>2.0633291219204045E-2</v>
      </c>
      <c r="V51" s="30">
        <f>+'Global Properties'!AI47</f>
        <v>2.3855022109917873E-2</v>
      </c>
      <c r="W51" s="30">
        <f>+'Global Properties'!AJ47</f>
        <v>2.743209096651927E-2</v>
      </c>
      <c r="X51" s="30">
        <f>+'Global Properties'!AK47</f>
        <v>3.0606443461781426E-2</v>
      </c>
      <c r="Y51" s="30">
        <f>+'Global Properties'!AL47</f>
        <v>3.3299115603284905E-2</v>
      </c>
      <c r="Z51" s="31"/>
      <c r="AA51" s="57" t="s">
        <v>9</v>
      </c>
      <c r="AB51" s="57" t="s">
        <v>9</v>
      </c>
      <c r="AC51" s="57" t="s">
        <v>9</v>
      </c>
      <c r="AD51" s="57" t="s">
        <v>9</v>
      </c>
      <c r="AE51" s="57"/>
      <c r="AF51" s="57"/>
      <c r="AG51" s="57"/>
      <c r="AH51" s="31"/>
      <c r="AI51" s="30">
        <f>1/'Global Properties'!L47</f>
        <v>4.2734643832300134E-2</v>
      </c>
      <c r="AJ51" s="31"/>
      <c r="AK51" s="30">
        <f>1/'Global Properties'!M47</f>
        <v>4.4752062283428623E-2</v>
      </c>
      <c r="AL51" s="30">
        <f>1/'Global Properties'!N47</f>
        <v>4.5607718703215464E-2</v>
      </c>
      <c r="AM51" s="30">
        <f>1/'Global Properties'!O47</f>
        <v>4.6230920340275261E-2</v>
      </c>
      <c r="AN51" s="30">
        <f>1/'Global Properties'!P47</f>
        <v>4.7561242199817166E-2</v>
      </c>
      <c r="AO51" s="30">
        <f>1/'Global Properties'!Q47</f>
        <v>5.1321589749828062E-2</v>
      </c>
      <c r="AP51" s="30">
        <f>1/'Global Properties'!R47</f>
        <v>5.4451478978499737E-2</v>
      </c>
      <c r="AQ51" s="31"/>
      <c r="AR51" s="30" t="s">
        <v>9</v>
      </c>
      <c r="AS51" s="30" t="s">
        <v>9</v>
      </c>
      <c r="AT51" s="30" t="s">
        <v>9</v>
      </c>
      <c r="AU51" s="30" t="s">
        <v>9</v>
      </c>
      <c r="AV51" s="30"/>
      <c r="AW51" s="30"/>
      <c r="AX51" s="30"/>
      <c r="AY51" s="31"/>
      <c r="AZ51" s="30">
        <f t="shared" si="289"/>
        <v>3.0458242199817166E-2</v>
      </c>
      <c r="BA51" s="30">
        <f t="shared" si="290"/>
        <v>2.8504718703215463E-2</v>
      </c>
      <c r="BB51" s="19"/>
      <c r="BC51" s="25"/>
      <c r="BD51" s="18"/>
      <c r="BE51" s="25"/>
      <c r="BF51" s="32"/>
      <c r="BG51" s="25"/>
      <c r="BH51" s="32"/>
      <c r="BI51" s="25"/>
      <c r="BJ51" s="32"/>
      <c r="BK51" s="25"/>
      <c r="BL51" s="25"/>
      <c r="BM51" s="32"/>
      <c r="BN51" s="25"/>
      <c r="BO51" s="32"/>
      <c r="BP51" s="25"/>
      <c r="BQ51" s="32"/>
      <c r="BR51" s="25"/>
      <c r="BS51" s="32"/>
      <c r="BT51" s="25"/>
      <c r="BU51" s="34"/>
      <c r="BV51" s="25"/>
      <c r="BW51" s="41"/>
      <c r="BY51" s="48"/>
      <c r="BZ51" s="88"/>
      <c r="CA51" s="88"/>
      <c r="CB51" s="88"/>
      <c r="CC51" s="88"/>
      <c r="CD51" s="88"/>
      <c r="CE51" s="88"/>
      <c r="CF51" s="88"/>
      <c r="CG51" s="88"/>
      <c r="CH51" s="39"/>
      <c r="CI51" s="99"/>
      <c r="CJ51" s="34"/>
      <c r="CK51" s="34"/>
      <c r="CL51" s="34"/>
      <c r="CM51" s="34"/>
      <c r="CN51" s="34"/>
      <c r="CO51" s="34"/>
      <c r="CP51" s="34"/>
      <c r="CQ51" s="39"/>
      <c r="CR51" s="99"/>
      <c r="CS51" s="34"/>
      <c r="CT51" s="34"/>
      <c r="CU51" s="34"/>
      <c r="CV51" s="34"/>
      <c r="CW51" s="34"/>
      <c r="CX51" s="34"/>
      <c r="CY51" s="34"/>
      <c r="CZ51" s="39"/>
      <c r="DA51" s="34"/>
      <c r="DB51" s="34"/>
      <c r="DC51" s="34"/>
      <c r="DD51" s="34"/>
      <c r="DE51" s="34"/>
      <c r="DF51" s="34"/>
      <c r="DG51" s="34"/>
      <c r="DH51" s="39"/>
      <c r="DI51" s="34"/>
      <c r="DJ51" s="34"/>
      <c r="DK51" s="34"/>
      <c r="DL51" s="34"/>
      <c r="DM51" s="34"/>
      <c r="DN51" s="34"/>
      <c r="DO51" s="34"/>
      <c r="DP51" s="39"/>
      <c r="DQ51" s="34"/>
      <c r="DR51" s="34"/>
      <c r="DS51" s="34"/>
      <c r="DT51" s="34"/>
      <c r="DU51" s="34"/>
      <c r="DV51" s="34"/>
      <c r="DW51" s="34"/>
      <c r="DX51"/>
      <c r="DY51" s="34"/>
      <c r="DZ51" s="34"/>
      <c r="EA51" s="34"/>
      <c r="EB51" s="34"/>
      <c r="EC51" s="34"/>
      <c r="ED51" s="34"/>
      <c r="EE51" s="34"/>
      <c r="EG51" s="34"/>
      <c r="EH51" s="34"/>
      <c r="EI51" s="34"/>
      <c r="EJ51" s="34"/>
      <c r="EK51" s="34"/>
      <c r="EL51" s="34"/>
      <c r="EM51" s="34"/>
      <c r="EO51" s="101"/>
      <c r="EP51" s="101"/>
      <c r="EQ51" s="101"/>
      <c r="ER51" s="101"/>
      <c r="ES51" s="101"/>
      <c r="ET51" s="101"/>
      <c r="EU51" s="101"/>
      <c r="EW51" s="34"/>
      <c r="EX51" s="34"/>
      <c r="EY51" s="34"/>
      <c r="EZ51" s="34"/>
      <c r="FA51" s="34"/>
      <c r="FB51" s="34"/>
      <c r="FC51" s="34"/>
      <c r="FE51" s="54"/>
      <c r="FF51" s="54"/>
      <c r="FG51" s="54"/>
      <c r="FH51" s="54"/>
      <c r="FI51" s="54"/>
      <c r="FJ51" s="54"/>
      <c r="FK51" s="54"/>
      <c r="FL51" s="55"/>
      <c r="FM51" s="54"/>
      <c r="FN51" s="54"/>
      <c r="FO51" s="54"/>
      <c r="FP51" s="54"/>
      <c r="FQ51" s="54"/>
      <c r="FR51" s="54"/>
      <c r="FS51" s="54"/>
      <c r="FT51" s="55"/>
      <c r="FU51" s="55"/>
      <c r="FV51" s="54"/>
      <c r="FW51" s="54"/>
      <c r="FX51" s="54"/>
      <c r="FY51" s="54"/>
      <c r="FZ51" s="54"/>
      <c r="GA51" s="54"/>
      <c r="GB51" s="54"/>
      <c r="GC51" s="55"/>
      <c r="GD51" s="54"/>
      <c r="GE51" s="54"/>
      <c r="GF51" s="54"/>
      <c r="GG51" s="54"/>
      <c r="GH51" s="54"/>
      <c r="GI51" s="54"/>
      <c r="GJ51" s="54"/>
      <c r="GK51" s="55"/>
      <c r="GL51" s="54"/>
      <c r="GM51" s="54"/>
      <c r="GN51" s="54"/>
      <c r="GO51" s="54"/>
      <c r="GP51" s="54"/>
      <c r="GQ51" s="54"/>
      <c r="GR51" s="54"/>
    </row>
    <row r="52" spans="1:200" ht="11.45" customHeight="1">
      <c r="A52" s="37"/>
      <c r="B52" s="64">
        <f t="shared" si="291"/>
        <v>1.7103E-2</v>
      </c>
      <c r="D52" s="6"/>
      <c r="E52" s="20" t="s">
        <v>248</v>
      </c>
      <c r="F52" s="20" t="s">
        <v>11</v>
      </c>
      <c r="G52" s="21">
        <f>+'Global Properties'!G48</f>
        <v>128.06</v>
      </c>
      <c r="H52" s="22">
        <f>+'Global Properties'!H48</f>
        <v>9598.6684037200012</v>
      </c>
      <c r="I52" s="22"/>
      <c r="J52" s="23">
        <f>1/'Global Properties'!V48</f>
        <v>3.8458535061689829E-2</v>
      </c>
      <c r="K52" s="23">
        <f>1/'Global Properties'!W48</f>
        <v>4.1613306262689359E-2</v>
      </c>
      <c r="L52" s="23">
        <f>1/'Global Properties'!X48</f>
        <v>4.4065281899109791E-2</v>
      </c>
      <c r="M52" s="23">
        <f>1/'Global Properties'!Y48</f>
        <v>4.6150242074027799E-2</v>
      </c>
      <c r="N52" s="23">
        <f>1/'Global Properties'!Z48</f>
        <v>4.8555364672809617E-2</v>
      </c>
      <c r="O52" s="23"/>
      <c r="P52" s="23"/>
      <c r="Q52" s="24"/>
      <c r="R52" s="23">
        <f>+'Global Properties'!AF48</f>
        <v>2.5769170701233794E-2</v>
      </c>
      <c r="S52" s="23">
        <f>+'Global Properties'!AG48</f>
        <v>2.8330470092144306E-2</v>
      </c>
      <c r="T52" s="23"/>
      <c r="U52" s="23">
        <f>+'Global Properties'!AH48</f>
        <v>2.998594408870842E-2</v>
      </c>
      <c r="V52" s="23">
        <f>+'Global Properties'!AI48</f>
        <v>3.101671091675777E-2</v>
      </c>
      <c r="W52" s="23">
        <f>+'Global Properties'!AJ48</f>
        <v>3.1727315320943306E-2</v>
      </c>
      <c r="X52" s="23">
        <f>+'Global Properties'!AK48</f>
        <v>3.2430110885522417E-2</v>
      </c>
      <c r="Y52" s="23">
        <f>+'Global Properties'!AL48</f>
        <v>3.3374980477900981E-2</v>
      </c>
      <c r="Z52" s="24"/>
      <c r="AA52" s="56" t="s">
        <v>9</v>
      </c>
      <c r="AB52" s="56" t="s">
        <v>9</v>
      </c>
      <c r="AC52" s="56" t="s">
        <v>9</v>
      </c>
      <c r="AD52" s="56" t="s">
        <v>9</v>
      </c>
      <c r="AE52" s="56"/>
      <c r="AF52" s="56"/>
      <c r="AG52" s="56"/>
      <c r="AH52" s="24"/>
      <c r="AI52" s="23">
        <f>1/'Global Properties'!L48</f>
        <v>3.3471440180506164E-2</v>
      </c>
      <c r="AJ52" s="24"/>
      <c r="AK52" s="23">
        <f>1/'Global Properties'!M48</f>
        <v>3.6035451609087117E-2</v>
      </c>
      <c r="AL52" s="23">
        <f>1/'Global Properties'!N48</f>
        <v>3.9041588851942345E-2</v>
      </c>
      <c r="AM52" s="23">
        <f>1/'Global Properties'!O48</f>
        <v>4.1522237511290916E-2</v>
      </c>
      <c r="AN52" s="23">
        <f>1/'Global Properties'!P48</f>
        <v>4.4940111049818425E-2</v>
      </c>
      <c r="AO52" s="23">
        <f>1/'Global Properties'!Q48</f>
        <v>4.6262093001172608E-2</v>
      </c>
      <c r="AP52" s="23">
        <f>1/'Global Properties'!R48</f>
        <v>4.9007228991994833E-2</v>
      </c>
      <c r="AQ52" s="24"/>
      <c r="AR52" s="23" t="s">
        <v>9</v>
      </c>
      <c r="AS52" s="23" t="s">
        <v>9</v>
      </c>
      <c r="AT52" s="23" t="s">
        <v>9</v>
      </c>
      <c r="AU52" s="23" t="s">
        <v>9</v>
      </c>
      <c r="AV52" s="23"/>
      <c r="AW52" s="23"/>
      <c r="AX52" s="23"/>
      <c r="AY52" s="24"/>
      <c r="AZ52" s="23">
        <f t="shared" si="289"/>
        <v>2.7837111049818425E-2</v>
      </c>
      <c r="BA52" s="23">
        <f t="shared" si="290"/>
        <v>2.1938588851942345E-2</v>
      </c>
      <c r="BB52" s="6"/>
      <c r="BC52" s="25"/>
      <c r="BD52" s="25"/>
      <c r="BE52" s="25"/>
      <c r="BF52" s="26"/>
      <c r="BG52" s="25"/>
      <c r="BH52" s="26"/>
      <c r="BI52" s="25"/>
      <c r="BJ52" s="26"/>
      <c r="BK52" s="25"/>
      <c r="BL52" s="25"/>
      <c r="BM52" s="26"/>
      <c r="BN52" s="25"/>
      <c r="BO52" s="26"/>
      <c r="BP52" s="25"/>
      <c r="BQ52" s="26"/>
      <c r="BR52" s="25"/>
      <c r="BS52" s="26"/>
      <c r="BT52" s="25"/>
      <c r="BU52" s="33"/>
      <c r="BV52" s="25"/>
      <c r="BW52" s="40"/>
      <c r="BY52" s="48"/>
      <c r="BZ52" s="88"/>
      <c r="CA52" s="88"/>
      <c r="CB52" s="88"/>
      <c r="CC52" s="88"/>
      <c r="CD52" s="88"/>
      <c r="CE52" s="88"/>
      <c r="CF52" s="88"/>
      <c r="CG52" s="88"/>
      <c r="CH52" s="39"/>
      <c r="CI52" s="98"/>
      <c r="CJ52" s="33"/>
      <c r="CK52" s="33"/>
      <c r="CL52" s="33"/>
      <c r="CM52" s="33"/>
      <c r="CN52" s="33"/>
      <c r="CO52" s="33"/>
      <c r="CP52" s="33"/>
      <c r="CQ52" s="39"/>
      <c r="CR52" s="98"/>
      <c r="CS52" s="33"/>
      <c r="CT52" s="33"/>
      <c r="CU52" s="33"/>
      <c r="CV52" s="33"/>
      <c r="CW52" s="33"/>
      <c r="CX52" s="33"/>
      <c r="CY52" s="33"/>
      <c r="CZ52" s="39"/>
      <c r="DA52" s="33"/>
      <c r="DB52" s="33"/>
      <c r="DC52" s="33"/>
      <c r="DD52" s="33"/>
      <c r="DE52" s="33"/>
      <c r="DF52" s="33"/>
      <c r="DG52" s="33"/>
      <c r="DH52" s="39"/>
      <c r="DI52" s="33"/>
      <c r="DJ52" s="33"/>
      <c r="DK52" s="33"/>
      <c r="DL52" s="33"/>
      <c r="DM52" s="33"/>
      <c r="DN52" s="33"/>
      <c r="DO52" s="33"/>
      <c r="DP52" s="39"/>
      <c r="DQ52" s="33"/>
      <c r="DR52" s="33"/>
      <c r="DS52" s="33"/>
      <c r="DT52" s="33"/>
      <c r="DU52" s="33"/>
      <c r="DV52" s="33"/>
      <c r="DW52" s="33"/>
      <c r="DX52"/>
      <c r="DY52" s="33"/>
      <c r="DZ52" s="33"/>
      <c r="EA52" s="33"/>
      <c r="EB52" s="33"/>
      <c r="EC52" s="33"/>
      <c r="ED52" s="33"/>
      <c r="EE52" s="33"/>
      <c r="EG52" s="33"/>
      <c r="EH52" s="33"/>
      <c r="EI52" s="33"/>
      <c r="EJ52" s="33"/>
      <c r="EK52" s="33"/>
      <c r="EL52" s="33"/>
      <c r="EM52" s="33"/>
      <c r="EO52" s="33"/>
      <c r="EP52" s="33"/>
      <c r="EQ52" s="33"/>
      <c r="ER52" s="33"/>
      <c r="ES52" s="33"/>
      <c r="ET52" s="33"/>
      <c r="EU52" s="33"/>
      <c r="EW52" s="33"/>
      <c r="EX52" s="33"/>
      <c r="EY52" s="33"/>
      <c r="EZ52" s="33"/>
      <c r="FA52" s="33"/>
      <c r="FB52" s="33"/>
      <c r="FC52" s="33"/>
      <c r="FE52" s="52"/>
      <c r="FF52" s="52"/>
      <c r="FG52" s="52"/>
      <c r="FH52" s="52"/>
      <c r="FI52" s="52"/>
      <c r="FJ52" s="52"/>
      <c r="FK52" s="52"/>
      <c r="FM52" s="52"/>
      <c r="FN52" s="52"/>
      <c r="FO52" s="52"/>
      <c r="FP52" s="52"/>
      <c r="FQ52" s="52"/>
      <c r="FR52" s="52"/>
      <c r="FS52" s="52"/>
      <c r="FV52" s="52"/>
      <c r="FW52" s="52"/>
      <c r="FX52" s="52"/>
      <c r="FY52" s="52"/>
      <c r="FZ52" s="52"/>
      <c r="GA52" s="52"/>
      <c r="GB52" s="52"/>
      <c r="GD52" s="52"/>
      <c r="GE52" s="52"/>
      <c r="GF52" s="52"/>
      <c r="GG52" s="52"/>
      <c r="GH52" s="52"/>
      <c r="GI52" s="52"/>
      <c r="GJ52" s="52"/>
      <c r="GL52" s="52"/>
      <c r="GM52" s="52"/>
      <c r="GN52" s="52"/>
      <c r="GO52" s="52"/>
      <c r="GP52" s="52"/>
      <c r="GQ52" s="52"/>
      <c r="GR52" s="52"/>
    </row>
    <row r="53" spans="1:200" ht="11.45" customHeight="1">
      <c r="A53" s="37"/>
      <c r="B53" s="64">
        <f t="shared" si="291"/>
        <v>1.7103E-2</v>
      </c>
      <c r="D53" s="19"/>
      <c r="E53" s="27" t="s">
        <v>246</v>
      </c>
      <c r="F53" s="27" t="s">
        <v>11</v>
      </c>
      <c r="G53" s="28">
        <f>+'Global Properties'!G49</f>
        <v>78.099999999999994</v>
      </c>
      <c r="H53" s="29">
        <f>+'Global Properties'!H49</f>
        <v>6516.6207325999994</v>
      </c>
      <c r="I53" s="29"/>
      <c r="J53" s="30">
        <f>1/'Global Properties'!V49</f>
        <v>7.4980793854033292E-2</v>
      </c>
      <c r="K53" s="30">
        <f>1/'Global Properties'!W49</f>
        <v>8.1690140845070425E-2</v>
      </c>
      <c r="L53" s="30">
        <f>1/'Global Properties'!X49</f>
        <v>0.10546734955185659</v>
      </c>
      <c r="M53" s="30">
        <f>1/'Global Properties'!Y49</f>
        <v>8.2624839948783627E-2</v>
      </c>
      <c r="N53" s="30">
        <f>1/'Global Properties'!Z49</f>
        <v>8.4801536491677335E-2</v>
      </c>
      <c r="O53" s="30"/>
      <c r="P53" s="30"/>
      <c r="Q53" s="31"/>
      <c r="R53" s="30">
        <f>+'Global Properties'!AF49</f>
        <v>2.6888604353393086E-2</v>
      </c>
      <c r="S53" s="30">
        <f>+'Global Properties'!AG49</f>
        <v>3.0729833546734957E-2</v>
      </c>
      <c r="T53" s="30"/>
      <c r="U53" s="30">
        <f>+'Global Properties'!AH49</f>
        <v>3.752880921895007E-2</v>
      </c>
      <c r="V53" s="30">
        <f>+'Global Properties'!AI49</f>
        <v>3.9923175416133168E-2</v>
      </c>
      <c r="W53" s="30">
        <f>+'Global Properties'!AJ49</f>
        <v>4.1959026888604353E-2</v>
      </c>
      <c r="X53" s="30">
        <f>+'Global Properties'!AK49</f>
        <v>4.3815620998719593E-2</v>
      </c>
      <c r="Y53" s="30">
        <f>+'Global Properties'!AL49</f>
        <v>4.5326504481434063E-2</v>
      </c>
      <c r="Z53" s="31"/>
      <c r="AA53" s="57" t="s">
        <v>9</v>
      </c>
      <c r="AB53" s="57" t="s">
        <v>9</v>
      </c>
      <c r="AC53" s="57" t="s">
        <v>9</v>
      </c>
      <c r="AD53" s="57" t="s">
        <v>9</v>
      </c>
      <c r="AE53" s="57"/>
      <c r="AF53" s="57"/>
      <c r="AG53" s="57"/>
      <c r="AH53" s="31"/>
      <c r="AI53" s="30">
        <f>1/'Global Properties'!L49</f>
        <v>6.6525714228077737E-2</v>
      </c>
      <c r="AJ53" s="31"/>
      <c r="AK53" s="30">
        <f>1/'Global Properties'!M49</f>
        <v>8.521521253964473E-2</v>
      </c>
      <c r="AL53" s="30">
        <f>1/'Global Properties'!N49</f>
        <v>9.9009842245801324E-2</v>
      </c>
      <c r="AM53" s="30">
        <f>1/'Global Properties'!O49</f>
        <v>7.692731001457484E-2</v>
      </c>
      <c r="AN53" s="30">
        <f>1/'Global Properties'!P49</f>
        <v>7.5240063639225044E-2</v>
      </c>
      <c r="AO53" s="30">
        <f>1/'Global Properties'!Q49</f>
        <v>5.4158754531832519E-2</v>
      </c>
      <c r="AP53" s="30">
        <f>1/'Global Properties'!R49</f>
        <v>5.4529577911030275E-2</v>
      </c>
      <c r="AQ53" s="31"/>
      <c r="AR53" s="30" t="s">
        <v>9</v>
      </c>
      <c r="AS53" s="30" t="s">
        <v>9</v>
      </c>
      <c r="AT53" s="30" t="s">
        <v>9</v>
      </c>
      <c r="AU53" s="30" t="s">
        <v>9</v>
      </c>
      <c r="AV53" s="30"/>
      <c r="AW53" s="30"/>
      <c r="AX53" s="30"/>
      <c r="AY53" s="31"/>
      <c r="AZ53" s="30">
        <f t="shared" si="289"/>
        <v>5.8137063639225044E-2</v>
      </c>
      <c r="BA53" s="30">
        <f t="shared" si="290"/>
        <v>8.1906842245801331E-2</v>
      </c>
      <c r="BB53" s="19"/>
      <c r="BC53" s="25"/>
      <c r="BD53" s="18"/>
      <c r="BE53" s="25"/>
      <c r="BF53" s="32"/>
      <c r="BG53" s="25"/>
      <c r="BH53" s="32"/>
      <c r="BI53" s="25"/>
      <c r="BJ53" s="32"/>
      <c r="BK53" s="25"/>
      <c r="BL53" s="25"/>
      <c r="BM53" s="32"/>
      <c r="BN53" s="25"/>
      <c r="BO53" s="32"/>
      <c r="BP53" s="25"/>
      <c r="BQ53" s="32"/>
      <c r="BR53" s="25"/>
      <c r="BS53" s="32"/>
      <c r="BT53" s="25"/>
      <c r="BU53" s="34"/>
      <c r="BV53" s="25"/>
      <c r="BW53" s="41"/>
      <c r="BY53" s="48"/>
      <c r="BZ53" s="88"/>
      <c r="CA53" s="88"/>
      <c r="CB53" s="88"/>
      <c r="CC53" s="88"/>
      <c r="CD53" s="88"/>
      <c r="CE53" s="88"/>
      <c r="CF53" s="88"/>
      <c r="CG53" s="88"/>
      <c r="CH53" s="39"/>
      <c r="CI53" s="99"/>
      <c r="CJ53" s="34"/>
      <c r="CK53" s="34"/>
      <c r="CL53" s="34"/>
      <c r="CM53" s="34"/>
      <c r="CN53" s="34"/>
      <c r="CO53" s="34"/>
      <c r="CP53" s="34"/>
      <c r="CQ53" s="39"/>
      <c r="CR53" s="99"/>
      <c r="CS53" s="34"/>
      <c r="CT53" s="34"/>
      <c r="CU53" s="34"/>
      <c r="CV53" s="34"/>
      <c r="CW53" s="34"/>
      <c r="CX53" s="34"/>
      <c r="CY53" s="34"/>
      <c r="CZ53" s="39"/>
      <c r="DA53" s="34"/>
      <c r="DB53" s="34"/>
      <c r="DC53" s="34"/>
      <c r="DD53" s="34"/>
      <c r="DE53" s="34"/>
      <c r="DF53" s="34"/>
      <c r="DG53" s="34"/>
      <c r="DH53" s="39"/>
      <c r="DI53" s="34"/>
      <c r="DJ53" s="34"/>
      <c r="DK53" s="34"/>
      <c r="DL53" s="34"/>
      <c r="DM53" s="34"/>
      <c r="DN53" s="34"/>
      <c r="DO53" s="34"/>
      <c r="DP53" s="39"/>
      <c r="DQ53" s="34"/>
      <c r="DR53" s="34"/>
      <c r="DS53" s="34"/>
      <c r="DT53" s="34"/>
      <c r="DU53" s="34"/>
      <c r="DV53" s="34"/>
      <c r="DW53" s="34"/>
      <c r="DX53"/>
      <c r="DY53" s="34"/>
      <c r="DZ53" s="34"/>
      <c r="EA53" s="34"/>
      <c r="EB53" s="34"/>
      <c r="EC53" s="34"/>
      <c r="ED53" s="34"/>
      <c r="EE53" s="34"/>
      <c r="EG53" s="34"/>
      <c r="EH53" s="34"/>
      <c r="EI53" s="34"/>
      <c r="EJ53" s="34"/>
      <c r="EK53" s="34"/>
      <c r="EL53" s="34"/>
      <c r="EM53" s="34"/>
      <c r="EO53" s="101"/>
      <c r="EP53" s="101"/>
      <c r="EQ53" s="101"/>
      <c r="ER53" s="101"/>
      <c r="ES53" s="101"/>
      <c r="ET53" s="101"/>
      <c r="EU53" s="101"/>
      <c r="EW53" s="34"/>
      <c r="EX53" s="34"/>
      <c r="EY53" s="34"/>
      <c r="EZ53" s="34"/>
      <c r="FA53" s="34"/>
      <c r="FB53" s="34"/>
      <c r="FC53" s="34"/>
      <c r="FE53" s="54"/>
      <c r="FF53" s="54"/>
      <c r="FG53" s="54"/>
      <c r="FH53" s="54"/>
      <c r="FI53" s="54"/>
      <c r="FJ53" s="54"/>
      <c r="FK53" s="54"/>
      <c r="FL53" s="55"/>
      <c r="FM53" s="54"/>
      <c r="FN53" s="54"/>
      <c r="FO53" s="54"/>
      <c r="FP53" s="54"/>
      <c r="FQ53" s="54"/>
      <c r="FR53" s="54"/>
      <c r="FS53" s="54"/>
      <c r="FT53" s="55"/>
      <c r="FU53" s="55"/>
      <c r="FV53" s="54"/>
      <c r="FW53" s="54"/>
      <c r="FX53" s="54"/>
      <c r="FY53" s="54"/>
      <c r="FZ53" s="54"/>
      <c r="GA53" s="54"/>
      <c r="GB53" s="54"/>
      <c r="GC53" s="55"/>
      <c r="GD53" s="54"/>
      <c r="GE53" s="54"/>
      <c r="GF53" s="54"/>
      <c r="GG53" s="54"/>
      <c r="GH53" s="54"/>
      <c r="GI53" s="54"/>
      <c r="GJ53" s="54"/>
      <c r="GK53" s="55"/>
      <c r="GL53" s="54"/>
      <c r="GM53" s="54"/>
      <c r="GN53" s="54"/>
      <c r="GO53" s="54"/>
      <c r="GP53" s="54"/>
      <c r="GQ53" s="54"/>
      <c r="GR53" s="54"/>
    </row>
    <row r="54" spans="1:200" ht="11.45" customHeight="1">
      <c r="A54" s="37"/>
      <c r="B54" s="64">
        <f t="shared" si="291"/>
        <v>1.7103E-2</v>
      </c>
      <c r="D54" s="6"/>
      <c r="E54" s="20" t="s">
        <v>244</v>
      </c>
      <c r="F54" s="20" t="s">
        <v>11</v>
      </c>
      <c r="G54" s="21">
        <f>+'Global Properties'!G50</f>
        <v>18.27</v>
      </c>
      <c r="H54" s="22">
        <f>+'Global Properties'!H50</f>
        <v>7711.7196076199998</v>
      </c>
      <c r="I54" s="22"/>
      <c r="J54" s="23">
        <f>1/'Global Properties'!V50</f>
        <v>7.6354679802955669E-2</v>
      </c>
      <c r="K54" s="23">
        <f>1/'Global Properties'!W50</f>
        <v>8.5221674876847286E-2</v>
      </c>
      <c r="L54" s="23">
        <f>1/'Global Properties'!X50</f>
        <v>7.1975916803503015E-2</v>
      </c>
      <c r="M54" s="23">
        <f>1/'Global Properties'!Y50</f>
        <v>8.4783798576902034E-2</v>
      </c>
      <c r="N54" s="23">
        <f>1/'Global Properties'!Z50</f>
        <v>8.029556650246307E-2</v>
      </c>
      <c r="O54" s="23"/>
      <c r="P54" s="23"/>
      <c r="Q54" s="24"/>
      <c r="R54" s="23">
        <f>+'Global Properties'!AF50</f>
        <v>4.9261083743842367E-2</v>
      </c>
      <c r="S54" s="23">
        <f>+'Global Properties'!AG50</f>
        <v>5.3639846743295021E-2</v>
      </c>
      <c r="T54" s="23"/>
      <c r="U54" s="23">
        <f>+'Global Properties'!AH50</f>
        <v>5.6923918992884515E-2</v>
      </c>
      <c r="V54" s="23">
        <f>+'Global Properties'!AI50</f>
        <v>6.0153256704980833E-2</v>
      </c>
      <c r="W54" s="23">
        <f>+'Global Properties'!AJ50</f>
        <v>6.1740558292282435E-2</v>
      </c>
      <c r="X54" s="23">
        <f>+'Global Properties'!AK50</f>
        <v>6.2233169129720857E-2</v>
      </c>
      <c r="Y54" s="23">
        <f>+'Global Properties'!AL50</f>
        <v>6.2342638204707174E-2</v>
      </c>
      <c r="Z54" s="24"/>
      <c r="AA54" s="56" t="s">
        <v>9</v>
      </c>
      <c r="AB54" s="56" t="s">
        <v>9</v>
      </c>
      <c r="AC54" s="56" t="s">
        <v>9</v>
      </c>
      <c r="AD54" s="56" t="s">
        <v>9</v>
      </c>
      <c r="AE54" s="56"/>
      <c r="AF54" s="56"/>
      <c r="AG54" s="56"/>
      <c r="AH54" s="24"/>
      <c r="AI54" s="23">
        <f>1/'Global Properties'!L50</f>
        <v>5.8598743892102845E-2</v>
      </c>
      <c r="AJ54" s="24"/>
      <c r="AK54" s="23">
        <f>1/'Global Properties'!M50</f>
        <v>6.5527768758922397E-2</v>
      </c>
      <c r="AL54" s="23">
        <f>1/'Global Properties'!N50</f>
        <v>6.2130161816799909E-2</v>
      </c>
      <c r="AM54" s="23">
        <f>1/'Global Properties'!O50</f>
        <v>6.3598375748362079E-2</v>
      </c>
      <c r="AN54" s="23">
        <f>1/'Global Properties'!P50</f>
        <v>5.901202430868021E-2</v>
      </c>
      <c r="AO54" s="23">
        <f>1/'Global Properties'!Q50</f>
        <v>6.0036866706453813E-2</v>
      </c>
      <c r="AP54" s="23">
        <f>1/'Global Properties'!R50</f>
        <v>6.1175604709710486E-2</v>
      </c>
      <c r="AQ54" s="24"/>
      <c r="AR54" s="23" t="s">
        <v>9</v>
      </c>
      <c r="AS54" s="23" t="s">
        <v>9</v>
      </c>
      <c r="AT54" s="23" t="s">
        <v>9</v>
      </c>
      <c r="AU54" s="23" t="s">
        <v>9</v>
      </c>
      <c r="AV54" s="23"/>
      <c r="AW54" s="23"/>
      <c r="AX54" s="23"/>
      <c r="AY54" s="24"/>
      <c r="AZ54" s="23">
        <f t="shared" si="289"/>
        <v>4.1909024308680209E-2</v>
      </c>
      <c r="BA54" s="23">
        <f t="shared" si="290"/>
        <v>4.5027161816799909E-2</v>
      </c>
      <c r="BB54" s="6"/>
      <c r="BC54" s="25"/>
      <c r="BD54" s="25"/>
      <c r="BE54" s="25"/>
      <c r="BF54" s="26"/>
      <c r="BG54" s="25"/>
      <c r="BH54" s="26"/>
      <c r="BI54" s="25"/>
      <c r="BJ54" s="26"/>
      <c r="BK54" s="25"/>
      <c r="BL54" s="25"/>
      <c r="BM54" s="26"/>
      <c r="BN54" s="25"/>
      <c r="BO54" s="26"/>
      <c r="BP54" s="25"/>
      <c r="BQ54" s="26"/>
      <c r="BR54" s="25"/>
      <c r="BS54" s="26"/>
      <c r="BT54" s="25"/>
      <c r="BU54" s="33"/>
      <c r="BV54" s="25"/>
      <c r="BW54" s="40"/>
      <c r="BY54" s="48"/>
      <c r="BZ54" s="88"/>
      <c r="CA54" s="88"/>
      <c r="CB54" s="88"/>
      <c r="CC54" s="88"/>
      <c r="CD54" s="88"/>
      <c r="CE54" s="88"/>
      <c r="CF54" s="88"/>
      <c r="CG54" s="88"/>
      <c r="CH54" s="39"/>
      <c r="CI54" s="98"/>
      <c r="CJ54" s="33"/>
      <c r="CK54" s="33"/>
      <c r="CL54" s="33"/>
      <c r="CM54" s="33"/>
      <c r="CN54" s="33"/>
      <c r="CO54" s="33"/>
      <c r="CP54" s="33"/>
      <c r="CQ54" s="39"/>
      <c r="CR54" s="98"/>
      <c r="CS54" s="33"/>
      <c r="CT54" s="33"/>
      <c r="CU54" s="33"/>
      <c r="CV54" s="33"/>
      <c r="CW54" s="33"/>
      <c r="CX54" s="33"/>
      <c r="CY54" s="33"/>
      <c r="CZ54" s="39"/>
      <c r="DA54" s="33"/>
      <c r="DB54" s="33"/>
      <c r="DC54" s="33"/>
      <c r="DD54" s="33"/>
      <c r="DE54" s="33"/>
      <c r="DF54" s="33"/>
      <c r="DG54" s="33"/>
      <c r="DH54" s="39"/>
      <c r="DI54" s="33"/>
      <c r="DJ54" s="33"/>
      <c r="DK54" s="33"/>
      <c r="DL54" s="33"/>
      <c r="DM54" s="33"/>
      <c r="DN54" s="33"/>
      <c r="DO54" s="33"/>
      <c r="DP54" s="39"/>
      <c r="DQ54" s="33"/>
      <c r="DR54" s="33"/>
      <c r="DS54" s="33"/>
      <c r="DT54" s="33"/>
      <c r="DU54" s="33"/>
      <c r="DV54" s="33"/>
      <c r="DW54" s="33"/>
      <c r="DX54"/>
      <c r="DY54" s="33"/>
      <c r="DZ54" s="33"/>
      <c r="EA54" s="33"/>
      <c r="EB54" s="33"/>
      <c r="EC54" s="33"/>
      <c r="ED54" s="33"/>
      <c r="EE54" s="33"/>
      <c r="EG54" s="33"/>
      <c r="EH54" s="33"/>
      <c r="EI54" s="33"/>
      <c r="EJ54" s="33"/>
      <c r="EK54" s="33"/>
      <c r="EL54" s="33"/>
      <c r="EM54" s="33"/>
      <c r="EO54" s="33"/>
      <c r="EP54" s="33"/>
      <c r="EQ54" s="33"/>
      <c r="ER54" s="33"/>
      <c r="ES54" s="33"/>
      <c r="ET54" s="33"/>
      <c r="EU54" s="33"/>
      <c r="EW54" s="33"/>
      <c r="EX54" s="33"/>
      <c r="EY54" s="33"/>
      <c r="EZ54" s="33"/>
      <c r="FA54" s="33"/>
      <c r="FB54" s="33"/>
      <c r="FC54" s="33"/>
      <c r="FE54" s="52"/>
      <c r="FF54" s="52"/>
      <c r="FG54" s="52"/>
      <c r="FH54" s="52"/>
      <c r="FI54" s="52"/>
      <c r="FJ54" s="52"/>
      <c r="FK54" s="52"/>
      <c r="FM54" s="52"/>
      <c r="FN54" s="52"/>
      <c r="FO54" s="52"/>
      <c r="FP54" s="52"/>
      <c r="FQ54" s="52"/>
      <c r="FR54" s="52"/>
      <c r="FS54" s="52"/>
      <c r="FV54" s="52"/>
      <c r="FW54" s="52"/>
      <c r="FX54" s="52"/>
      <c r="FY54" s="52"/>
      <c r="FZ54" s="52"/>
      <c r="GA54" s="52"/>
      <c r="GB54" s="52"/>
      <c r="GD54" s="52"/>
      <c r="GE54" s="52"/>
      <c r="GF54" s="52"/>
      <c r="GG54" s="52"/>
      <c r="GH54" s="52"/>
      <c r="GI54" s="52"/>
      <c r="GJ54" s="52"/>
      <c r="GL54" s="52"/>
      <c r="GM54" s="52"/>
      <c r="GN54" s="52"/>
      <c r="GO54" s="52"/>
      <c r="GP54" s="52"/>
      <c r="GQ54" s="52"/>
      <c r="GR54" s="52"/>
    </row>
    <row r="55" spans="1:200" ht="11.45" customHeight="1">
      <c r="A55" s="37"/>
      <c r="B55" s="64">
        <f>+B54</f>
        <v>1.7103E-2</v>
      </c>
      <c r="D55" s="6"/>
      <c r="E55" s="20" t="s">
        <v>243</v>
      </c>
      <c r="F55" s="20" t="s">
        <v>11</v>
      </c>
      <c r="G55" s="21">
        <f>+'Global Properties'!G52</f>
        <v>63.32</v>
      </c>
      <c r="H55" s="22">
        <f>+'Global Properties'!H52</f>
        <v>10620.212888240001</v>
      </c>
      <c r="I55" s="22"/>
      <c r="J55" s="23">
        <f>1/'Global Properties'!V52</f>
        <v>4.4535691724573591E-2</v>
      </c>
      <c r="K55" s="23">
        <f>1/'Global Properties'!W52</f>
        <v>4.7820593809222996E-2</v>
      </c>
      <c r="L55" s="23">
        <f>1/'Global Properties'!X52</f>
        <v>5.1705622236260268E-2</v>
      </c>
      <c r="M55" s="23">
        <f>1/'Global Properties'!Y52</f>
        <v>5.6522425773847126E-2</v>
      </c>
      <c r="N55" s="23">
        <f>1/'Global Properties'!Z52</f>
        <v>5.9965255843335438E-2</v>
      </c>
      <c r="O55" s="23"/>
      <c r="P55" s="23"/>
      <c r="Q55" s="24"/>
      <c r="R55" s="23">
        <f>+'Global Properties'!AF52</f>
        <v>2.9690461149715727E-2</v>
      </c>
      <c r="S55" s="23">
        <f>+'Global Properties'!AG52</f>
        <v>3.0638029058749211E-2</v>
      </c>
      <c r="T55" s="23"/>
      <c r="U55" s="23">
        <f>+'Global Properties'!AH52</f>
        <v>3.1585596967782695E-2</v>
      </c>
      <c r="V55" s="23">
        <f>+'Global Properties'!AI52</f>
        <v>3.3322804801010741E-2</v>
      </c>
      <c r="W55" s="23">
        <f>+'Global Properties'!AJ52</f>
        <v>3.5091598231206569E-2</v>
      </c>
      <c r="X55" s="23">
        <f>+'Global Properties'!AK52</f>
        <v>3.6844598862918507E-2</v>
      </c>
      <c r="Y55" s="23">
        <f>+'Global Properties'!AL52</f>
        <v>3.807643714466203E-2</v>
      </c>
      <c r="Z55" s="24"/>
      <c r="AA55" s="56" t="s">
        <v>9</v>
      </c>
      <c r="AB55" s="56" t="s">
        <v>9</v>
      </c>
      <c r="AC55" s="56" t="s">
        <v>9</v>
      </c>
      <c r="AD55" s="56" t="s">
        <v>9</v>
      </c>
      <c r="AE55" s="56"/>
      <c r="AF55" s="56"/>
      <c r="AG55" s="56"/>
      <c r="AH55" s="24"/>
      <c r="AI55" s="23">
        <f>1/'Global Properties'!L52</f>
        <v>2.6105296176451163E-2</v>
      </c>
      <c r="AJ55" s="24"/>
      <c r="AK55" s="23">
        <f>1/'Global Properties'!M52</f>
        <v>2.4385579695789035E-2</v>
      </c>
      <c r="AL55" s="23">
        <f>1/'Global Properties'!N52</f>
        <v>2.6139690506064409E-2</v>
      </c>
      <c r="AM55" s="23">
        <f>1/'Global Properties'!O52</f>
        <v>4.6638710955557022E-2</v>
      </c>
      <c r="AN55" s="23" t="s">
        <v>318</v>
      </c>
      <c r="AO55" s="23" t="s">
        <v>318</v>
      </c>
      <c r="AP55" s="23" t="s">
        <v>318</v>
      </c>
      <c r="AQ55" s="24"/>
      <c r="AR55" s="23" t="s">
        <v>9</v>
      </c>
      <c r="AS55" s="23" t="s">
        <v>9</v>
      </c>
      <c r="AT55" s="23" t="s">
        <v>9</v>
      </c>
      <c r="AU55" s="23" t="s">
        <v>9</v>
      </c>
      <c r="AV55" s="23"/>
      <c r="AW55" s="23"/>
      <c r="AX55" s="23"/>
      <c r="AY55" s="24"/>
      <c r="AZ55" s="23" t="s">
        <v>318</v>
      </c>
      <c r="BA55" s="23">
        <f t="shared" si="290"/>
        <v>9.0366905060644091E-3</v>
      </c>
      <c r="BB55" s="6"/>
      <c r="BC55" s="25"/>
      <c r="BD55" s="25"/>
      <c r="BE55" s="25"/>
      <c r="BF55" s="26"/>
      <c r="BG55" s="25"/>
      <c r="BH55" s="26"/>
      <c r="BI55" s="25"/>
      <c r="BJ55" s="26"/>
      <c r="BK55" s="25"/>
      <c r="BL55" s="25"/>
      <c r="BM55" s="26"/>
      <c r="BN55" s="25"/>
      <c r="BO55" s="26"/>
      <c r="BP55" s="25"/>
      <c r="BQ55" s="26"/>
      <c r="BR55" s="25"/>
      <c r="BS55" s="26"/>
      <c r="BT55" s="25"/>
      <c r="BU55" s="33"/>
      <c r="BV55" s="25"/>
      <c r="BW55" s="40"/>
      <c r="BY55" s="48"/>
      <c r="BZ55" s="88"/>
      <c r="CA55" s="88"/>
      <c r="CB55" s="88"/>
      <c r="CC55" s="88"/>
      <c r="CD55" s="88"/>
      <c r="CE55" s="88"/>
      <c r="CF55" s="88"/>
      <c r="CG55" s="88"/>
      <c r="CH55" s="39"/>
      <c r="CI55" s="98"/>
      <c r="CJ55" s="33"/>
      <c r="CK55" s="33"/>
      <c r="CL55" s="33"/>
      <c r="CM55" s="33"/>
      <c r="CN55" s="33"/>
      <c r="CO55" s="33"/>
      <c r="CP55" s="33"/>
      <c r="CQ55" s="39"/>
      <c r="CR55" s="98"/>
      <c r="CS55" s="33"/>
      <c r="CT55" s="33"/>
      <c r="CU55" s="33"/>
      <c r="CV55" s="33"/>
      <c r="CW55" s="33"/>
      <c r="CX55" s="33"/>
      <c r="CY55" s="33"/>
      <c r="CZ55" s="39"/>
      <c r="DA55" s="33"/>
      <c r="DB55" s="33"/>
      <c r="DC55" s="33"/>
      <c r="DD55" s="33"/>
      <c r="DE55" s="33"/>
      <c r="DF55" s="33"/>
      <c r="DG55" s="33"/>
      <c r="DH55" s="39"/>
      <c r="DI55" s="33"/>
      <c r="DJ55" s="33"/>
      <c r="DK55" s="33"/>
      <c r="DL55" s="33"/>
      <c r="DM55" s="33"/>
      <c r="DN55" s="33"/>
      <c r="DO55" s="33"/>
      <c r="DP55" s="39"/>
      <c r="DQ55" s="33"/>
      <c r="DR55" s="33"/>
      <c r="DS55" s="33"/>
      <c r="DT55" s="33"/>
      <c r="DU55" s="33"/>
      <c r="DV55" s="33"/>
      <c r="DW55" s="33"/>
      <c r="DX55"/>
      <c r="DY55" s="33"/>
      <c r="DZ55" s="33"/>
      <c r="EA55" s="33"/>
      <c r="EB55" s="33"/>
      <c r="EC55" s="33"/>
      <c r="ED55" s="33"/>
      <c r="EE55" s="33"/>
      <c r="EG55" s="33"/>
      <c r="EH55" s="33"/>
      <c r="EI55" s="33"/>
      <c r="EJ55" s="33"/>
      <c r="EK55" s="33"/>
      <c r="EL55" s="33"/>
      <c r="EM55" s="33"/>
      <c r="EO55" s="33"/>
      <c r="EP55" s="33"/>
      <c r="EQ55" s="33"/>
      <c r="ER55" s="33"/>
      <c r="ES55" s="33"/>
      <c r="ET55" s="33"/>
      <c r="EU55" s="33"/>
      <c r="EW55" s="33"/>
      <c r="EX55" s="33"/>
      <c r="EY55" s="33"/>
      <c r="EZ55" s="33"/>
      <c r="FA55" s="33"/>
      <c r="FB55" s="33"/>
      <c r="FC55" s="33"/>
      <c r="FE55" s="52"/>
      <c r="FF55" s="52"/>
      <c r="FG55" s="52"/>
      <c r="FH55" s="52"/>
      <c r="FI55" s="52"/>
      <c r="FJ55" s="52"/>
      <c r="FK55" s="52"/>
      <c r="FM55" s="52"/>
      <c r="FN55" s="52"/>
      <c r="FO55" s="52"/>
      <c r="FP55" s="52"/>
      <c r="FQ55" s="52"/>
      <c r="FR55" s="52"/>
      <c r="FS55" s="52"/>
      <c r="FV55" s="52"/>
      <c r="FW55" s="52"/>
      <c r="FX55" s="52"/>
      <c r="FY55" s="52"/>
      <c r="FZ55" s="52"/>
      <c r="GA55" s="52"/>
      <c r="GB55" s="52"/>
      <c r="GD55" s="52"/>
      <c r="GE55" s="52"/>
      <c r="GF55" s="52"/>
      <c r="GG55" s="52"/>
      <c r="GH55" s="52"/>
      <c r="GI55" s="52"/>
      <c r="GJ55" s="52"/>
      <c r="GL55" s="52"/>
      <c r="GM55" s="52"/>
      <c r="GN55" s="52"/>
      <c r="GO55" s="52"/>
      <c r="GP55" s="52"/>
      <c r="GQ55" s="52"/>
      <c r="GR55" s="52"/>
    </row>
    <row r="56" spans="1:200" ht="11.45" customHeight="1">
      <c r="A56" s="37"/>
      <c r="B56" s="64">
        <f t="shared" si="291"/>
        <v>1.7103E-2</v>
      </c>
      <c r="D56" s="19"/>
      <c r="E56" s="27" t="s">
        <v>240</v>
      </c>
      <c r="F56" s="27" t="s">
        <v>11</v>
      </c>
      <c r="G56" s="28">
        <f>+'Global Properties'!G53</f>
        <v>38.5</v>
      </c>
      <c r="H56" s="29">
        <f>+'Global Properties'!H53</f>
        <v>2356.5597825</v>
      </c>
      <c r="I56" s="29"/>
      <c r="J56" s="30">
        <f>1/'Global Properties'!V53</f>
        <v>9.410389610389612E-2</v>
      </c>
      <c r="K56" s="30">
        <f>1/'Global Properties'!W53</f>
        <v>8.8571428571428579E-2</v>
      </c>
      <c r="L56" s="30">
        <f>1/'Global Properties'!X53</f>
        <v>9.9402597402597409E-2</v>
      </c>
      <c r="M56" s="30">
        <f>1/'Global Properties'!Y53</f>
        <v>9.5480519480519485E-2</v>
      </c>
      <c r="N56" s="30">
        <f>1/'Global Properties'!Z53</f>
        <v>9.7922077922077924E-2</v>
      </c>
      <c r="O56" s="30"/>
      <c r="P56" s="30"/>
      <c r="Q56" s="31"/>
      <c r="R56" s="30">
        <f>+'Global Properties'!AF53</f>
        <v>5.6103896103896107E-2</v>
      </c>
      <c r="S56" s="30">
        <f>+'Global Properties'!AG53</f>
        <v>5.8701298701298706E-2</v>
      </c>
      <c r="T56" s="30"/>
      <c r="U56" s="30">
        <f>+'Global Properties'!AH53</f>
        <v>6.1818181818181814E-2</v>
      </c>
      <c r="V56" s="30">
        <f>+'Global Properties'!AI53</f>
        <v>6.4935064935064929E-2</v>
      </c>
      <c r="W56" s="30">
        <f>+'Global Properties'!AJ53</f>
        <v>6.8051948051948058E-2</v>
      </c>
      <c r="X56" s="30">
        <f>+'Global Properties'!AK53</f>
        <v>7.0129870129870125E-2</v>
      </c>
      <c r="Y56" s="30">
        <f>+'Global Properties'!AL53</f>
        <v>7.2129870129870127E-2</v>
      </c>
      <c r="Z56" s="31"/>
      <c r="AA56" s="57" t="s">
        <v>9</v>
      </c>
      <c r="AB56" s="57" t="s">
        <v>9</v>
      </c>
      <c r="AC56" s="57" t="s">
        <v>9</v>
      </c>
      <c r="AD56" s="57" t="s">
        <v>9</v>
      </c>
      <c r="AE56" s="57"/>
      <c r="AF56" s="57"/>
      <c r="AG56" s="57"/>
      <c r="AH56" s="31"/>
      <c r="AI56" s="30">
        <f>1/'Global Properties'!L53</f>
        <v>6.0964563483899899E-2</v>
      </c>
      <c r="AJ56" s="31"/>
      <c r="AK56" s="30">
        <f>1/'Global Properties'!M53</f>
        <v>4.6671436159923363E-2</v>
      </c>
      <c r="AL56" s="30">
        <f>1/'Global Properties'!N53</f>
        <v>5.0304899579650036E-2</v>
      </c>
      <c r="AM56" s="30">
        <f>1/'Global Properties'!O53</f>
        <v>5.0970121069389987E-2</v>
      </c>
      <c r="AN56" s="30">
        <f>1/'Global Properties'!P53</f>
        <v>5.4501183673594716E-2</v>
      </c>
      <c r="AO56" s="30">
        <f>1/'Global Properties'!Q53</f>
        <v>6.6366475170488923E-2</v>
      </c>
      <c r="AP56" s="30">
        <f>1/'Global Properties'!R53</f>
        <v>6.8033290244134598E-2</v>
      </c>
      <c r="AQ56" s="31"/>
      <c r="AR56" s="30" t="s">
        <v>9</v>
      </c>
      <c r="AS56" s="30" t="s">
        <v>9</v>
      </c>
      <c r="AT56" s="30" t="s">
        <v>9</v>
      </c>
      <c r="AU56" s="30" t="s">
        <v>9</v>
      </c>
      <c r="AV56" s="30"/>
      <c r="AW56" s="30"/>
      <c r="AX56" s="30"/>
      <c r="AY56" s="31"/>
      <c r="AZ56" s="30">
        <f t="shared" si="289"/>
        <v>3.7398183673594716E-2</v>
      </c>
      <c r="BA56" s="30">
        <f t="shared" si="290"/>
        <v>3.3201899579650036E-2</v>
      </c>
      <c r="BB56" s="19"/>
      <c r="BC56" s="25"/>
      <c r="BD56" s="18"/>
      <c r="BE56" s="25"/>
      <c r="BF56" s="32"/>
      <c r="BG56" s="25"/>
      <c r="BH56" s="32"/>
      <c r="BI56" s="25"/>
      <c r="BJ56" s="32"/>
      <c r="BK56" s="25"/>
      <c r="BL56" s="25"/>
      <c r="BM56" s="32"/>
      <c r="BN56" s="25"/>
      <c r="BO56" s="32"/>
      <c r="BP56" s="25"/>
      <c r="BQ56" s="32"/>
      <c r="BR56" s="25"/>
      <c r="BS56" s="32"/>
      <c r="BT56" s="25"/>
      <c r="BU56" s="34"/>
      <c r="BV56" s="25"/>
      <c r="BW56" s="41"/>
      <c r="BY56" s="48"/>
      <c r="BZ56" s="88"/>
      <c r="CA56" s="88"/>
      <c r="CB56" s="88"/>
      <c r="CC56" s="88"/>
      <c r="CD56" s="88"/>
      <c r="CE56" s="88"/>
      <c r="CF56" s="88"/>
      <c r="CG56" s="88"/>
      <c r="CH56" s="39"/>
      <c r="CI56" s="99"/>
      <c r="CJ56" s="34"/>
      <c r="CK56" s="34"/>
      <c r="CL56" s="34"/>
      <c r="CM56" s="34"/>
      <c r="CN56" s="34"/>
      <c r="CO56" s="34"/>
      <c r="CP56" s="34"/>
      <c r="CQ56" s="39"/>
      <c r="CR56" s="99"/>
      <c r="CS56" s="34"/>
      <c r="CT56" s="34"/>
      <c r="CU56" s="34"/>
      <c r="CV56" s="34"/>
      <c r="CW56" s="34"/>
      <c r="CX56" s="34"/>
      <c r="CY56" s="34"/>
      <c r="CZ56" s="39"/>
      <c r="DA56" s="34"/>
      <c r="DB56" s="34"/>
      <c r="DC56" s="34"/>
      <c r="DD56" s="34"/>
      <c r="DE56" s="34"/>
      <c r="DF56" s="34"/>
      <c r="DG56" s="34"/>
      <c r="DH56" s="39"/>
      <c r="DI56" s="34"/>
      <c r="DJ56" s="34"/>
      <c r="DK56" s="34"/>
      <c r="DL56" s="34"/>
      <c r="DM56" s="34"/>
      <c r="DN56" s="34"/>
      <c r="DO56" s="34"/>
      <c r="DP56" s="39"/>
      <c r="DQ56" s="34"/>
      <c r="DR56" s="34"/>
      <c r="DS56" s="34"/>
      <c r="DT56" s="34"/>
      <c r="DU56" s="34"/>
      <c r="DV56" s="34"/>
      <c r="DW56" s="34"/>
      <c r="DX56"/>
      <c r="DY56" s="34"/>
      <c r="DZ56" s="34"/>
      <c r="EA56" s="34"/>
      <c r="EB56" s="34"/>
      <c r="EC56" s="34"/>
      <c r="ED56" s="34"/>
      <c r="EE56" s="34"/>
      <c r="EG56" s="34"/>
      <c r="EH56" s="34"/>
      <c r="EI56" s="34"/>
      <c r="EJ56" s="34"/>
      <c r="EK56" s="34"/>
      <c r="EL56" s="34"/>
      <c r="EM56" s="34"/>
      <c r="EO56" s="101"/>
      <c r="EP56" s="101"/>
      <c r="EQ56" s="101"/>
      <c r="ER56" s="101"/>
      <c r="ES56" s="101"/>
      <c r="ET56" s="101"/>
      <c r="EU56" s="101"/>
      <c r="EW56" s="34"/>
      <c r="EX56" s="34"/>
      <c r="EY56" s="34"/>
      <c r="EZ56" s="34"/>
      <c r="FA56" s="34"/>
      <c r="FB56" s="34"/>
      <c r="FC56" s="34"/>
      <c r="FE56" s="54"/>
      <c r="FF56" s="54"/>
      <c r="FG56" s="54"/>
      <c r="FH56" s="54"/>
      <c r="FI56" s="54"/>
      <c r="FJ56" s="54"/>
      <c r="FK56" s="54"/>
      <c r="FL56" s="55"/>
      <c r="FM56" s="54"/>
      <c r="FN56" s="54"/>
      <c r="FO56" s="54"/>
      <c r="FP56" s="54"/>
      <c r="FQ56" s="54"/>
      <c r="FR56" s="54"/>
      <c r="FS56" s="54"/>
      <c r="FT56" s="55"/>
      <c r="FU56" s="55"/>
      <c r="FV56" s="54"/>
      <c r="FW56" s="54"/>
      <c r="FX56" s="54"/>
      <c r="FY56" s="54"/>
      <c r="FZ56" s="54"/>
      <c r="GA56" s="54"/>
      <c r="GB56" s="54"/>
      <c r="GC56" s="55"/>
      <c r="GD56" s="54"/>
      <c r="GE56" s="54"/>
      <c r="GF56" s="54"/>
      <c r="GG56" s="54"/>
      <c r="GH56" s="54"/>
      <c r="GI56" s="54"/>
      <c r="GJ56" s="54"/>
      <c r="GK56" s="55"/>
      <c r="GL56" s="54"/>
      <c r="GM56" s="54"/>
      <c r="GN56" s="54"/>
      <c r="GO56" s="54"/>
      <c r="GP56" s="54"/>
      <c r="GQ56" s="54"/>
      <c r="GR56" s="54"/>
    </row>
    <row r="57" spans="1:200" ht="11.45" customHeight="1">
      <c r="A57" s="37"/>
      <c r="B57" s="64">
        <f t="shared" si="291"/>
        <v>1.7103E-2</v>
      </c>
      <c r="D57" s="6"/>
      <c r="E57" s="20" t="s">
        <v>266</v>
      </c>
      <c r="F57" s="20" t="s">
        <v>11</v>
      </c>
      <c r="G57" s="21">
        <f>+'Global Properties'!G54</f>
        <v>13.93</v>
      </c>
      <c r="H57" s="22">
        <f>+'Global Properties'!H54</f>
        <v>1303.0716393100001</v>
      </c>
      <c r="I57" s="22"/>
      <c r="J57" s="23">
        <f>1/'Global Properties'!V54</f>
        <v>0.13122756640344579</v>
      </c>
      <c r="K57" s="23">
        <f>1/'Global Properties'!W54</f>
        <v>0.15814788226848528</v>
      </c>
      <c r="L57" s="23">
        <f>1/'Global Properties'!X54</f>
        <v>0.16956209619526205</v>
      </c>
      <c r="M57" s="23">
        <f>1/'Global Properties'!Y54</f>
        <v>0.14888729361091169</v>
      </c>
      <c r="N57" s="23">
        <f>1/'Global Properties'!Z54</f>
        <v>0.17587939698492464</v>
      </c>
      <c r="O57" s="23"/>
      <c r="P57" s="23"/>
      <c r="Q57" s="24"/>
      <c r="R57" s="23">
        <f>+'Global Properties'!AF54</f>
        <v>6.8916008614501076E-2</v>
      </c>
      <c r="S57" s="23">
        <f>+'Global Properties'!AG54</f>
        <v>8.3417085427135676E-2</v>
      </c>
      <c r="T57" s="23"/>
      <c r="U57" s="23">
        <f>+'Global Properties'!AH54</f>
        <v>9.3323761665470212E-2</v>
      </c>
      <c r="V57" s="23">
        <f>+'Global Properties'!AI54</f>
        <v>9.7343862167982798E-2</v>
      </c>
      <c r="W57" s="23">
        <f>+'Global Properties'!AJ54</f>
        <v>0.10000000000000002</v>
      </c>
      <c r="X57" s="23">
        <f>+'Global Properties'!AK54</f>
        <v>0.10265613783201723</v>
      </c>
      <c r="Y57" s="23">
        <f>+'Global Properties'!AL54</f>
        <v>0.10495333811916727</v>
      </c>
      <c r="Z57" s="24"/>
      <c r="AA57" s="56" t="s">
        <v>9</v>
      </c>
      <c r="AB57" s="56" t="s">
        <v>9</v>
      </c>
      <c r="AC57" s="56" t="s">
        <v>9</v>
      </c>
      <c r="AD57" s="56" t="s">
        <v>9</v>
      </c>
      <c r="AE57" s="56"/>
      <c r="AF57" s="56"/>
      <c r="AG57" s="56"/>
      <c r="AH57" s="24"/>
      <c r="AI57" s="23">
        <f>1/'Global Properties'!L54</f>
        <v>8.0330120128528193E-2</v>
      </c>
      <c r="AJ57" s="24"/>
      <c r="AK57" s="23">
        <f>1/'Global Properties'!M54</f>
        <v>8.2219044571550465E-2</v>
      </c>
      <c r="AL57" s="23">
        <f>1/'Global Properties'!N54</f>
        <v>8.8246470141194355E-2</v>
      </c>
      <c r="AM57" s="23">
        <f>1/'Global Properties'!O54</f>
        <v>9.1829660146927464E-2</v>
      </c>
      <c r="AN57" s="23">
        <f>1/'Global Properties'!P54</f>
        <v>9.2396304147834091E-2</v>
      </c>
      <c r="AO57" s="23">
        <f>1/'Global Properties'!Q54</f>
        <v>8.8329800141327686E-2</v>
      </c>
      <c r="AP57" s="23">
        <f>1/'Global Properties'!R54</f>
        <v>8.4529952135247929E-2</v>
      </c>
      <c r="AQ57" s="24"/>
      <c r="AR57" s="23" t="s">
        <v>9</v>
      </c>
      <c r="AS57" s="23" t="s">
        <v>9</v>
      </c>
      <c r="AT57" s="23" t="s">
        <v>9</v>
      </c>
      <c r="AU57" s="23" t="s">
        <v>9</v>
      </c>
      <c r="AV57" s="23"/>
      <c r="AW57" s="23"/>
      <c r="AX57" s="23"/>
      <c r="AY57" s="24"/>
      <c r="AZ57" s="23">
        <f t="shared" si="289"/>
        <v>7.5293304147834084E-2</v>
      </c>
      <c r="BA57" s="23">
        <f t="shared" si="290"/>
        <v>7.1143470141194348E-2</v>
      </c>
      <c r="BB57" s="6"/>
      <c r="BC57" s="25"/>
      <c r="BD57" s="25"/>
      <c r="BE57" s="25"/>
      <c r="BF57" s="26"/>
      <c r="BG57" s="25"/>
      <c r="BH57" s="26"/>
      <c r="BI57" s="25"/>
      <c r="BJ57" s="26"/>
      <c r="BK57" s="25"/>
      <c r="BL57" s="25"/>
      <c r="BM57" s="26"/>
      <c r="BN57" s="25"/>
      <c r="BO57" s="26"/>
      <c r="BP57" s="25"/>
      <c r="BQ57" s="26"/>
      <c r="BR57" s="25"/>
      <c r="BS57" s="26"/>
      <c r="BT57" s="25"/>
      <c r="BU57" s="33"/>
      <c r="BV57" s="25"/>
      <c r="BW57" s="40"/>
      <c r="BY57" s="48"/>
      <c r="BZ57" s="88"/>
      <c r="CA57" s="88"/>
      <c r="CB57" s="88"/>
      <c r="CC57" s="88"/>
      <c r="CD57" s="88"/>
      <c r="CE57" s="88"/>
      <c r="CF57" s="88"/>
      <c r="CG57" s="88"/>
      <c r="CH57" s="39"/>
      <c r="CI57" s="98"/>
      <c r="CJ57" s="33"/>
      <c r="CK57" s="33"/>
      <c r="CL57" s="33"/>
      <c r="CM57" s="33"/>
      <c r="CN57" s="33"/>
      <c r="CO57" s="33"/>
      <c r="CP57" s="33"/>
      <c r="CQ57" s="39"/>
      <c r="CR57" s="98"/>
      <c r="CS57" s="33"/>
      <c r="CT57" s="33"/>
      <c r="CU57" s="33"/>
      <c r="CV57" s="33"/>
      <c r="CW57" s="33"/>
      <c r="CX57" s="33"/>
      <c r="CY57" s="33"/>
      <c r="CZ57" s="39"/>
      <c r="DA57" s="33"/>
      <c r="DB57" s="33"/>
      <c r="DC57" s="33"/>
      <c r="DD57" s="33"/>
      <c r="DE57" s="33"/>
      <c r="DF57" s="33"/>
      <c r="DG57" s="33"/>
      <c r="DH57" s="39"/>
      <c r="DI57" s="33"/>
      <c r="DJ57" s="33"/>
      <c r="DK57" s="33"/>
      <c r="DL57" s="33"/>
      <c r="DM57" s="33"/>
      <c r="DN57" s="33"/>
      <c r="DO57" s="33"/>
      <c r="DP57" s="39"/>
      <c r="DQ57" s="33"/>
      <c r="DR57" s="33"/>
      <c r="DS57" s="33"/>
      <c r="DT57" s="33"/>
      <c r="DU57" s="33"/>
      <c r="DV57" s="33"/>
      <c r="DW57" s="33"/>
      <c r="DX57"/>
      <c r="DY57" s="33"/>
      <c r="DZ57" s="33"/>
      <c r="EA57" s="33"/>
      <c r="EB57" s="33"/>
      <c r="EC57" s="33"/>
      <c r="ED57" s="33"/>
      <c r="EE57" s="33"/>
      <c r="EG57" s="33"/>
      <c r="EH57" s="33"/>
      <c r="EI57" s="33"/>
      <c r="EJ57" s="33"/>
      <c r="EK57" s="33"/>
      <c r="EL57" s="33"/>
      <c r="EM57" s="33"/>
      <c r="EO57" s="33"/>
      <c r="EP57" s="33"/>
      <c r="EQ57" s="33"/>
      <c r="ER57" s="33"/>
      <c r="ES57" s="33"/>
      <c r="ET57" s="33"/>
      <c r="EU57" s="33"/>
      <c r="EW57" s="33"/>
      <c r="EX57" s="33"/>
      <c r="EY57" s="33"/>
      <c r="EZ57" s="33"/>
      <c r="FA57" s="33"/>
      <c r="FB57" s="33"/>
      <c r="FC57" s="33"/>
      <c r="FE57" s="52"/>
      <c r="FF57" s="52"/>
      <c r="FG57" s="52"/>
      <c r="FH57" s="52"/>
      <c r="FI57" s="52"/>
      <c r="FJ57" s="52"/>
      <c r="FK57" s="52"/>
      <c r="FM57" s="52"/>
      <c r="FN57" s="52"/>
      <c r="FO57" s="52"/>
      <c r="FP57" s="52"/>
      <c r="FQ57" s="52"/>
      <c r="FR57" s="52"/>
      <c r="FS57" s="52"/>
      <c r="FV57" s="52"/>
      <c r="FW57" s="52"/>
      <c r="FX57" s="52"/>
      <c r="FY57" s="52"/>
      <c r="FZ57" s="52"/>
      <c r="GA57" s="52"/>
      <c r="GB57" s="52"/>
      <c r="GD57" s="52"/>
      <c r="GE57" s="52"/>
      <c r="GF57" s="52"/>
      <c r="GG57" s="52"/>
      <c r="GH57" s="52"/>
      <c r="GI57" s="52"/>
      <c r="GJ57" s="52"/>
      <c r="GL57" s="52"/>
      <c r="GM57" s="52"/>
      <c r="GN57" s="52"/>
      <c r="GO57" s="52"/>
      <c r="GP57" s="52"/>
      <c r="GQ57" s="52"/>
      <c r="GR57" s="52"/>
    </row>
    <row r="58" spans="1:200">
      <c r="D58" s="117"/>
      <c r="E58" s="118" t="s">
        <v>8</v>
      </c>
      <c r="F58" s="118"/>
      <c r="G58" s="119"/>
      <c r="H58" s="120"/>
      <c r="I58" s="120"/>
      <c r="J58" s="128">
        <f>+AVERAGE(J48:J57)</f>
        <v>7.1093239653580137E-2</v>
      </c>
      <c r="K58" s="128">
        <f>+AVERAGE(K48:K57)</f>
        <v>7.7677323988868049E-2</v>
      </c>
      <c r="L58" s="128">
        <f>+AVERAGE(L48:L57)</f>
        <v>8.3597017092880296E-2</v>
      </c>
      <c r="M58" s="128">
        <f>+AVERAGE(M48:M57)</f>
        <v>8.129121478734283E-2</v>
      </c>
      <c r="N58" s="128">
        <f>+AVERAGE(N48:N57)</f>
        <v>8.4994354825239857E-2</v>
      </c>
      <c r="O58" s="309"/>
      <c r="P58" s="309"/>
      <c r="Q58" s="128"/>
      <c r="R58" s="128">
        <f>+AVERAGE(R48:R57)</f>
        <v>4.525980039746591E-2</v>
      </c>
      <c r="S58" s="128">
        <f>+AVERAGE(S48:S57)</f>
        <v>5.3916415519324891E-2</v>
      </c>
      <c r="T58" s="309"/>
      <c r="U58" s="128">
        <f>+AVERAGE(U48:U57)</f>
        <v>5.6441044404997212E-2</v>
      </c>
      <c r="V58" s="12">
        <f>+AVERAGE(V48:V57)</f>
        <v>5.2186211036809579E-2</v>
      </c>
      <c r="W58" s="12">
        <f>+AVERAGE(W48:W57)</f>
        <v>5.490780734384678E-2</v>
      </c>
      <c r="X58" s="12">
        <f>+AVERAGE(X48:X57)</f>
        <v>5.6713850027473714E-2</v>
      </c>
      <c r="Y58" s="12">
        <f>+AVERAGE(Y48:Y57)</f>
        <v>5.8166539624802706E-2</v>
      </c>
      <c r="Z58" s="13"/>
      <c r="AA58" s="103"/>
      <c r="AB58" s="103"/>
      <c r="AC58" s="103"/>
      <c r="AD58" s="103"/>
      <c r="AE58" s="311"/>
      <c r="AF58" s="311"/>
      <c r="AG58" s="311"/>
      <c r="AH58" s="13"/>
      <c r="AI58" s="12">
        <f>+AVERAGE(AI48:AI57)</f>
        <v>5.2138458447212613E-2</v>
      </c>
      <c r="AJ58" s="13"/>
      <c r="AK58" s="12">
        <f t="shared" ref="AK58:AP58" si="292">+AVERAGE(AK48:AK57)</f>
        <v>5.501791974232547E-2</v>
      </c>
      <c r="AL58" s="12">
        <f t="shared" si="292"/>
        <v>5.8920159521558456E-2</v>
      </c>
      <c r="AM58" s="12">
        <f t="shared" si="292"/>
        <v>5.9905985748789393E-2</v>
      </c>
      <c r="AN58" s="377">
        <f t="shared" si="292"/>
        <v>6.2034204459294501E-2</v>
      </c>
      <c r="AO58" s="377">
        <f t="shared" si="292"/>
        <v>6.0335905265176654E-2</v>
      </c>
      <c r="AP58" s="377">
        <f t="shared" si="292"/>
        <v>6.1679752657299941E-2</v>
      </c>
      <c r="AQ58" s="378"/>
      <c r="AR58" s="377"/>
      <c r="AS58" s="377"/>
      <c r="AT58" s="377"/>
      <c r="AU58" s="377"/>
      <c r="AV58" s="380"/>
      <c r="AW58" s="380"/>
      <c r="AX58" s="380"/>
      <c r="AY58" s="378"/>
      <c r="AZ58" s="380">
        <f>+AVERAGE(AZ48:AZ57)</f>
        <v>4.4931204459294508E-2</v>
      </c>
      <c r="BA58" s="263">
        <f>+AVERAGE(BA48:BA57)</f>
        <v>4.1817159521558442E-2</v>
      </c>
      <c r="BB58" s="264"/>
    </row>
    <row r="59" spans="1:200">
      <c r="D59" s="5"/>
      <c r="E59" s="266"/>
    </row>
    <row r="60" spans="1:200">
      <c r="D60" s="5"/>
      <c r="E60" s="115" t="s">
        <v>249</v>
      </c>
    </row>
    <row r="61" spans="1:200" ht="11.45" customHeight="1">
      <c r="A61" s="37"/>
      <c r="B61" s="106">
        <f>+Bloomberg!D21/100</f>
        <v>-7.1999999999999994E-4</v>
      </c>
      <c r="D61" s="6"/>
      <c r="E61" s="20" t="s">
        <v>251</v>
      </c>
      <c r="F61" s="20" t="s">
        <v>11</v>
      </c>
      <c r="G61" s="21">
        <f>+'Global Properties'!G58</f>
        <v>27.58</v>
      </c>
      <c r="H61" s="22">
        <f>+'Global Properties'!H58</f>
        <v>9306.317775102234</v>
      </c>
      <c r="I61" s="22"/>
      <c r="J61" s="23">
        <f>1/'Global Properties'!V58</f>
        <v>7.298767222625091E-2</v>
      </c>
      <c r="K61" s="23">
        <f>1/'Global Properties'!W58</f>
        <v>7.6069615663524284E-2</v>
      </c>
      <c r="L61" s="23">
        <f>1/'Global Properties'!X58</f>
        <v>8.1109499637418425E-2</v>
      </c>
      <c r="M61" s="23">
        <f>1/'Global Properties'!Y58</f>
        <v>8.9920232052211752E-2</v>
      </c>
      <c r="N61" s="23">
        <f>1/'Global Properties'!Z58</f>
        <v>9.5068890500362588E-2</v>
      </c>
      <c r="O61" s="23"/>
      <c r="P61" s="23"/>
      <c r="Q61" s="24"/>
      <c r="R61" s="23">
        <f>+'Global Properties'!AF58</f>
        <v>5.7251631617113857E-2</v>
      </c>
      <c r="S61" s="23">
        <f>+'Global Properties'!AG58</f>
        <v>6.2400290065264701E-2</v>
      </c>
      <c r="T61" s="23"/>
      <c r="U61" s="23">
        <f>+'Global Properties'!AH58</f>
        <v>6.4793328498912256E-2</v>
      </c>
      <c r="V61" s="23">
        <f>+'Global Properties'!AI58</f>
        <v>7.023205221174765E-2</v>
      </c>
      <c r="W61" s="23">
        <f>+'Global Properties'!AJ58</f>
        <v>7.5815808556925324E-2</v>
      </c>
      <c r="X61" s="23">
        <f>+'Global Properties'!AK58</f>
        <v>7.9296591733139965E-2</v>
      </c>
      <c r="Y61" s="23">
        <f>+'Global Properties'!AL58</f>
        <v>8.1798404641044251E-2</v>
      </c>
      <c r="Z61" s="24"/>
      <c r="AA61" s="56" t="s">
        <v>9</v>
      </c>
      <c r="AB61" s="56" t="s">
        <v>9</v>
      </c>
      <c r="AC61" s="56" t="s">
        <v>9</v>
      </c>
      <c r="AD61" s="56" t="s">
        <v>9</v>
      </c>
      <c r="AE61" s="56"/>
      <c r="AF61" s="56"/>
      <c r="AG61" s="56"/>
      <c r="AH61" s="24"/>
      <c r="AI61" s="23">
        <f>1/'Global Properties'!L58</f>
        <v>3.4519904731510703E-2</v>
      </c>
      <c r="AJ61" s="24"/>
      <c r="AK61" s="23">
        <f>1/'Global Properties'!M58</f>
        <v>4.7195233423558663E-2</v>
      </c>
      <c r="AL61" s="23">
        <f>1/'Global Properties'!N58</f>
        <v>4.7640794849670418E-2</v>
      </c>
      <c r="AM61" s="23">
        <f>1/'Global Properties'!O58</f>
        <v>5.0464473285029288E-2</v>
      </c>
      <c r="AN61" s="23">
        <f>1/'Global Properties'!P58</f>
        <v>5.1449465936984101E-2</v>
      </c>
      <c r="AO61" s="23">
        <f>1/'Global Properties'!Q58</f>
        <v>5.1465866064639154E-2</v>
      </c>
      <c r="AP61" s="23">
        <f>1/'Global Properties'!R58</f>
        <v>5.290395533649319E-2</v>
      </c>
      <c r="AQ61" s="24"/>
      <c r="AR61" s="23" t="s">
        <v>9</v>
      </c>
      <c r="AS61" s="23" t="s">
        <v>9</v>
      </c>
      <c r="AT61" s="23" t="s">
        <v>9</v>
      </c>
      <c r="AU61" s="23" t="s">
        <v>9</v>
      </c>
      <c r="AV61" s="23"/>
      <c r="AW61" s="23"/>
      <c r="AX61" s="23"/>
      <c r="AY61" s="24"/>
      <c r="AZ61" s="23">
        <f t="shared" ref="AZ61:AZ66" si="293">+AN61-B61</f>
        <v>5.21694659369841E-2</v>
      </c>
      <c r="BA61" s="23">
        <f t="shared" ref="BA61:BA66" si="294">+AL61-B61</f>
        <v>4.8360794849670416E-2</v>
      </c>
      <c r="BB61" s="6"/>
      <c r="BC61" s="25"/>
      <c r="BD61" s="25"/>
      <c r="BE61" s="25"/>
      <c r="BF61" s="26"/>
      <c r="BG61" s="25"/>
      <c r="BH61" s="26"/>
      <c r="BI61" s="25"/>
      <c r="BJ61" s="26"/>
      <c r="BK61" s="25"/>
      <c r="BL61" s="25"/>
      <c r="BM61" s="26"/>
      <c r="BN61" s="25"/>
      <c r="BO61" s="26"/>
      <c r="BP61" s="25"/>
      <c r="BQ61" s="26"/>
      <c r="BR61" s="25"/>
      <c r="BS61" s="26"/>
      <c r="BT61" s="25"/>
      <c r="BU61" s="33"/>
      <c r="BV61" s="25"/>
      <c r="BW61" s="40"/>
      <c r="BY61" s="48"/>
      <c r="BZ61" s="88"/>
      <c r="CA61" s="88"/>
      <c r="CB61" s="88"/>
      <c r="CC61" s="88"/>
      <c r="CD61" s="88"/>
      <c r="CE61" s="88"/>
      <c r="CF61" s="88"/>
      <c r="CG61" s="88"/>
      <c r="CH61" s="39"/>
      <c r="CI61" s="98"/>
      <c r="CJ61" s="33"/>
      <c r="CK61" s="33"/>
      <c r="CL61" s="33"/>
      <c r="CM61" s="33"/>
      <c r="CN61" s="33"/>
      <c r="CO61" s="33"/>
      <c r="CP61" s="33"/>
      <c r="CQ61" s="39"/>
      <c r="CR61" s="98"/>
      <c r="CS61" s="33"/>
      <c r="CT61" s="33"/>
      <c r="CU61" s="33"/>
      <c r="CV61" s="33"/>
      <c r="CW61" s="33"/>
      <c r="CX61" s="33"/>
      <c r="CY61" s="33"/>
      <c r="CZ61" s="39"/>
      <c r="DA61" s="33"/>
      <c r="DB61" s="33"/>
      <c r="DC61" s="33"/>
      <c r="DD61" s="33"/>
      <c r="DE61" s="33"/>
      <c r="DF61" s="33"/>
      <c r="DG61" s="33"/>
      <c r="DH61" s="39"/>
      <c r="DI61" s="33"/>
      <c r="DJ61" s="33"/>
      <c r="DK61" s="33"/>
      <c r="DL61" s="33"/>
      <c r="DM61" s="33"/>
      <c r="DN61" s="33"/>
      <c r="DO61" s="33"/>
      <c r="DP61" s="39"/>
      <c r="DQ61" s="33"/>
      <c r="DR61" s="33"/>
      <c r="DS61" s="33"/>
      <c r="DT61" s="33"/>
      <c r="DU61" s="33"/>
      <c r="DV61" s="33"/>
      <c r="DW61" s="33"/>
      <c r="DX61"/>
      <c r="DY61" s="33"/>
      <c r="DZ61" s="33"/>
      <c r="EA61" s="33"/>
      <c r="EB61" s="33"/>
      <c r="EC61" s="33"/>
      <c r="ED61" s="33"/>
      <c r="EE61" s="33"/>
      <c r="EG61" s="33"/>
      <c r="EH61" s="33"/>
      <c r="EI61" s="33"/>
      <c r="EJ61" s="33"/>
      <c r="EK61" s="33"/>
      <c r="EL61" s="33"/>
      <c r="EM61" s="33"/>
      <c r="EO61" s="33"/>
      <c r="EP61" s="33"/>
      <c r="EQ61" s="33"/>
      <c r="ER61" s="33"/>
      <c r="ES61" s="33"/>
      <c r="ET61" s="33"/>
      <c r="EU61" s="33"/>
      <c r="EW61" s="33"/>
      <c r="EX61" s="33"/>
      <c r="EY61" s="33"/>
      <c r="EZ61" s="33"/>
      <c r="FA61" s="33"/>
      <c r="FB61" s="33"/>
      <c r="FC61" s="33"/>
      <c r="FE61" s="52"/>
      <c r="FF61" s="52"/>
      <c r="FG61" s="52"/>
      <c r="FH61" s="52"/>
      <c r="FI61" s="52"/>
      <c r="FJ61" s="52"/>
      <c r="FK61" s="52"/>
      <c r="FM61" s="52"/>
      <c r="FN61" s="52"/>
      <c r="FO61" s="52"/>
      <c r="FP61" s="52"/>
      <c r="FQ61" s="52"/>
      <c r="FR61" s="52"/>
      <c r="FS61" s="52"/>
      <c r="FV61" s="52"/>
      <c r="FW61" s="52"/>
      <c r="FX61" s="52"/>
      <c r="FY61" s="52"/>
      <c r="FZ61" s="52"/>
      <c r="GA61" s="52"/>
      <c r="GB61" s="52"/>
      <c r="GD61" s="52"/>
      <c r="GE61" s="52"/>
      <c r="GF61" s="52"/>
      <c r="GG61" s="52"/>
      <c r="GH61" s="52"/>
      <c r="GI61" s="52"/>
      <c r="GJ61" s="52"/>
      <c r="GL61" s="52"/>
      <c r="GM61" s="52"/>
      <c r="GN61" s="52"/>
      <c r="GO61" s="52"/>
      <c r="GP61" s="52"/>
      <c r="GQ61" s="52"/>
      <c r="GR61" s="52"/>
    </row>
    <row r="62" spans="1:200" ht="11.45" customHeight="1">
      <c r="A62" s="37"/>
      <c r="B62" s="64">
        <f>+B61</f>
        <v>-7.1999999999999994E-4</v>
      </c>
      <c r="D62" s="19"/>
      <c r="E62" s="27" t="s">
        <v>267</v>
      </c>
      <c r="F62" s="27" t="s">
        <v>11</v>
      </c>
      <c r="G62" s="28">
        <f>+'Global Properties'!G59</f>
        <v>18.25</v>
      </c>
      <c r="H62" s="29">
        <f>+'Global Properties'!H59</f>
        <v>814.17130467934999</v>
      </c>
      <c r="I62" s="29"/>
      <c r="J62" s="30" t="s">
        <v>9</v>
      </c>
      <c r="K62" s="30" t="s">
        <v>9</v>
      </c>
      <c r="L62" s="30" t="s">
        <v>9</v>
      </c>
      <c r="M62" s="30" t="s">
        <v>9</v>
      </c>
      <c r="N62" s="30" t="s">
        <v>9</v>
      </c>
      <c r="O62" s="30"/>
      <c r="P62" s="30"/>
      <c r="Q62" s="31"/>
      <c r="R62" s="30">
        <f>+'Global Properties'!AF59</f>
        <v>0.15484931506849317</v>
      </c>
      <c r="S62" s="30">
        <f>+'Global Properties'!AG59</f>
        <v>0.16301369863013698</v>
      </c>
      <c r="T62" s="30"/>
      <c r="U62" s="30">
        <f>+'Global Properties'!AH59</f>
        <v>0.16887671232876714</v>
      </c>
      <c r="V62" s="30">
        <f>+'Global Properties'!AI59</f>
        <v>0.16926027397260274</v>
      </c>
      <c r="W62" s="30">
        <f>+'Global Properties'!AJ59</f>
        <v>0.13808219178082193</v>
      </c>
      <c r="X62" s="30">
        <f>+'Global Properties'!AK59</f>
        <v>0.13808219178082193</v>
      </c>
      <c r="Y62" s="30">
        <f>+'Global Properties'!AL59</f>
        <v>0.13008219178082192</v>
      </c>
      <c r="Z62" s="31"/>
      <c r="AA62" s="57" t="s">
        <v>9</v>
      </c>
      <c r="AB62" s="57" t="s">
        <v>9</v>
      </c>
      <c r="AC62" s="57" t="s">
        <v>9</v>
      </c>
      <c r="AD62" s="57" t="s">
        <v>9</v>
      </c>
      <c r="AE62" s="57"/>
      <c r="AF62" s="57"/>
      <c r="AG62" s="57"/>
      <c r="AH62" s="31"/>
      <c r="AI62" s="30">
        <f>1/'Global Properties'!L59</f>
        <v>4.7044955449314828E-2</v>
      </c>
      <c r="AJ62" s="31"/>
      <c r="AK62" s="30">
        <f>1/'Global Properties'!M59</f>
        <v>7.2387096545124985E-2</v>
      </c>
      <c r="AL62" s="30">
        <f>1/'Global Properties'!N59</f>
        <v>8.2025986568221396E-2</v>
      </c>
      <c r="AM62" s="30">
        <f>1/'Global Properties'!O59</f>
        <v>8.0458413147023469E-2</v>
      </c>
      <c r="AN62" s="30">
        <f>1/'Global Properties'!P59</f>
        <v>7.8667154277274082E-2</v>
      </c>
      <c r="AO62" s="30">
        <f>1/'Global Properties'!Q59</f>
        <v>6.8855618144085376E-2</v>
      </c>
      <c r="AP62" s="30">
        <f>1/'Global Properties'!R59</f>
        <v>6.9362904786336013E-2</v>
      </c>
      <c r="AQ62" s="31"/>
      <c r="AR62" s="30" t="s">
        <v>9</v>
      </c>
      <c r="AS62" s="30" t="s">
        <v>9</v>
      </c>
      <c r="AT62" s="30" t="s">
        <v>9</v>
      </c>
      <c r="AU62" s="30" t="s">
        <v>9</v>
      </c>
      <c r="AV62" s="30"/>
      <c r="AW62" s="30"/>
      <c r="AX62" s="30"/>
      <c r="AY62" s="31"/>
      <c r="AZ62" s="30">
        <f t="shared" si="293"/>
        <v>7.938715427727408E-2</v>
      </c>
      <c r="BA62" s="30">
        <f t="shared" si="294"/>
        <v>8.2745986568221394E-2</v>
      </c>
      <c r="BB62" s="19"/>
      <c r="BC62" s="25"/>
      <c r="BD62" s="18"/>
      <c r="BE62" s="25"/>
      <c r="BF62" s="32"/>
      <c r="BG62" s="25"/>
      <c r="BH62" s="32"/>
      <c r="BI62" s="25"/>
      <c r="BJ62" s="32"/>
      <c r="BK62" s="25"/>
      <c r="BL62" s="25"/>
      <c r="BM62" s="32"/>
      <c r="BN62" s="25"/>
      <c r="BO62" s="32"/>
      <c r="BP62" s="25"/>
      <c r="BQ62" s="32"/>
      <c r="BR62" s="25"/>
      <c r="BS62" s="32"/>
      <c r="BT62" s="25"/>
      <c r="BU62" s="34"/>
      <c r="BV62" s="25"/>
      <c r="BW62" s="41"/>
      <c r="BY62" s="48"/>
      <c r="BZ62" s="88"/>
      <c r="CA62" s="88"/>
      <c r="CB62" s="88"/>
      <c r="CC62" s="88"/>
      <c r="CD62" s="88"/>
      <c r="CE62" s="88"/>
      <c r="CF62" s="88"/>
      <c r="CG62" s="88"/>
      <c r="CH62" s="39"/>
      <c r="CI62" s="99"/>
      <c r="CJ62" s="34"/>
      <c r="CK62" s="34"/>
      <c r="CL62" s="34"/>
      <c r="CM62" s="34"/>
      <c r="CN62" s="34"/>
      <c r="CO62" s="34"/>
      <c r="CP62" s="34"/>
      <c r="CQ62" s="39"/>
      <c r="CR62" s="99"/>
      <c r="CS62" s="34"/>
      <c r="CT62" s="34"/>
      <c r="CU62" s="34"/>
      <c r="CV62" s="34"/>
      <c r="CW62" s="34"/>
      <c r="CX62" s="34"/>
      <c r="CY62" s="34"/>
      <c r="CZ62" s="39"/>
      <c r="DA62" s="34"/>
      <c r="DB62" s="34"/>
      <c r="DC62" s="34"/>
      <c r="DD62" s="34"/>
      <c r="DE62" s="34"/>
      <c r="DF62" s="34"/>
      <c r="DG62" s="34"/>
      <c r="DH62" s="39"/>
      <c r="DI62" s="34"/>
      <c r="DJ62" s="34"/>
      <c r="DK62" s="34"/>
      <c r="DL62" s="34"/>
      <c r="DM62" s="34"/>
      <c r="DN62" s="34"/>
      <c r="DO62" s="34"/>
      <c r="DP62" s="39"/>
      <c r="DQ62" s="34"/>
      <c r="DR62" s="34"/>
      <c r="DS62" s="34"/>
      <c r="DT62" s="34"/>
      <c r="DU62" s="34"/>
      <c r="DV62" s="34"/>
      <c r="DW62" s="34"/>
      <c r="DX62"/>
      <c r="DY62" s="34"/>
      <c r="DZ62" s="34"/>
      <c r="EA62" s="34"/>
      <c r="EB62" s="34"/>
      <c r="EC62" s="34"/>
      <c r="ED62" s="34"/>
      <c r="EE62" s="34"/>
      <c r="EG62" s="34"/>
      <c r="EH62" s="34"/>
      <c r="EI62" s="34"/>
      <c r="EJ62" s="34"/>
      <c r="EK62" s="34"/>
      <c r="EL62" s="34"/>
      <c r="EM62" s="34"/>
      <c r="EO62" s="101"/>
      <c r="EP62" s="101"/>
      <c r="EQ62" s="101"/>
      <c r="ER62" s="101"/>
      <c r="ES62" s="101"/>
      <c r="ET62" s="101"/>
      <c r="EU62" s="101"/>
      <c r="EW62" s="34"/>
      <c r="EX62" s="34"/>
      <c r="EY62" s="34"/>
      <c r="EZ62" s="34"/>
      <c r="FA62" s="34"/>
      <c r="FB62" s="34"/>
      <c r="FC62" s="34"/>
      <c r="FE62" s="54"/>
      <c r="FF62" s="54"/>
      <c r="FG62" s="54"/>
      <c r="FH62" s="54"/>
      <c r="FI62" s="54"/>
      <c r="FJ62" s="54"/>
      <c r="FK62" s="54"/>
      <c r="FL62" s="55"/>
      <c r="FM62" s="54"/>
      <c r="FN62" s="54"/>
      <c r="FO62" s="54"/>
      <c r="FP62" s="54"/>
      <c r="FQ62" s="54"/>
      <c r="FR62" s="54"/>
      <c r="FS62" s="54"/>
      <c r="FT62" s="55"/>
      <c r="FU62" s="55"/>
      <c r="FV62" s="54"/>
      <c r="FW62" s="54"/>
      <c r="FX62" s="54"/>
      <c r="FY62" s="54"/>
      <c r="FZ62" s="54"/>
      <c r="GA62" s="54"/>
      <c r="GB62" s="54"/>
      <c r="GC62" s="55"/>
      <c r="GD62" s="54"/>
      <c r="GE62" s="54"/>
      <c r="GF62" s="54"/>
      <c r="GG62" s="54"/>
      <c r="GH62" s="54"/>
      <c r="GI62" s="54"/>
      <c r="GJ62" s="54"/>
      <c r="GK62" s="55"/>
      <c r="GL62" s="54"/>
      <c r="GM62" s="54"/>
      <c r="GN62" s="54"/>
      <c r="GO62" s="54"/>
      <c r="GP62" s="54"/>
      <c r="GQ62" s="54"/>
      <c r="GR62" s="54"/>
    </row>
    <row r="63" spans="1:200" ht="11.45" customHeight="1">
      <c r="A63" s="37"/>
      <c r="B63" s="106">
        <f>+Bloomberg!D22/100</f>
        <v>6.62E-3</v>
      </c>
      <c r="D63" s="6"/>
      <c r="E63" s="20" t="s">
        <v>268</v>
      </c>
      <c r="F63" s="20" t="s">
        <v>11</v>
      </c>
      <c r="G63" s="20">
        <f>+'Global Properties'!G60</f>
        <v>771.8</v>
      </c>
      <c r="H63" s="22">
        <f>+'Global Properties'!H60</f>
        <v>6988.4437616566374</v>
      </c>
      <c r="I63" s="22"/>
      <c r="J63" s="23" t="s">
        <v>9</v>
      </c>
      <c r="K63" s="23" t="s">
        <v>9</v>
      </c>
      <c r="L63" s="23" t="s">
        <v>9</v>
      </c>
      <c r="M63" s="23" t="s">
        <v>9</v>
      </c>
      <c r="N63" s="23" t="s">
        <v>9</v>
      </c>
      <c r="O63" s="23"/>
      <c r="P63" s="23"/>
      <c r="Q63" s="24"/>
      <c r="R63" s="23">
        <f>+'Global Properties'!AF60</f>
        <v>3.9647577092511009E-2</v>
      </c>
      <c r="S63" s="23">
        <f>+'Global Properties'!AG60</f>
        <v>4.1331951282715738E-2</v>
      </c>
      <c r="T63" s="23"/>
      <c r="U63" s="23">
        <f>+'Global Properties'!AH60</f>
        <v>4.2886758227520083E-2</v>
      </c>
      <c r="V63" s="23">
        <f>+'Global Properties'!AI60</f>
        <v>4.7162477325732061E-2</v>
      </c>
      <c r="W63" s="23">
        <f>+'Global Properties'!AJ60</f>
        <v>5.2604301632547291E-2</v>
      </c>
      <c r="X63" s="23">
        <f>+'Global Properties'!AK60</f>
        <v>6.0767038092770155E-2</v>
      </c>
      <c r="Y63" s="23">
        <f>+'Global Properties'!AL60</f>
        <v>6.1674008810572688E-2</v>
      </c>
      <c r="Z63" s="24"/>
      <c r="AA63" s="56" t="s">
        <v>9</v>
      </c>
      <c r="AB63" s="56" t="s">
        <v>9</v>
      </c>
      <c r="AC63" s="56" t="s">
        <v>9</v>
      </c>
      <c r="AD63" s="56" t="s">
        <v>9</v>
      </c>
      <c r="AE63" s="56"/>
      <c r="AF63" s="56"/>
      <c r="AG63" s="56"/>
      <c r="AH63" s="24"/>
      <c r="AI63" s="23">
        <f>1/'Global Properties'!L60</f>
        <v>5.2045269749928458E-2</v>
      </c>
      <c r="AJ63" s="24"/>
      <c r="AK63" s="23">
        <f>1/'Global Properties'!M60</f>
        <v>5.4204053193368247E-2</v>
      </c>
      <c r="AL63" s="23">
        <f>1/'Global Properties'!N60</f>
        <v>5.4902185591727541E-2</v>
      </c>
      <c r="AM63" s="23">
        <f>1/'Global Properties'!O60</f>
        <v>5.439868723710705E-2</v>
      </c>
      <c r="AN63" s="23">
        <f>1/'Global Properties'!P60</f>
        <v>5.4670352946234638E-2</v>
      </c>
      <c r="AO63" s="23">
        <f>1/'Global Properties'!Q60</f>
        <v>5.6403828863670187E-2</v>
      </c>
      <c r="AP63" s="23">
        <f>1/'Global Properties'!R60</f>
        <v>5.5880730112658032E-2</v>
      </c>
      <c r="AQ63" s="24"/>
      <c r="AR63" s="23" t="s">
        <v>9</v>
      </c>
      <c r="AS63" s="23" t="s">
        <v>9</v>
      </c>
      <c r="AT63" s="23" t="s">
        <v>9</v>
      </c>
      <c r="AU63" s="23" t="s">
        <v>9</v>
      </c>
      <c r="AV63" s="23"/>
      <c r="AW63" s="23"/>
      <c r="AX63" s="23"/>
      <c r="AY63" s="24"/>
      <c r="AZ63" s="23">
        <f t="shared" si="293"/>
        <v>4.8050352946234637E-2</v>
      </c>
      <c r="BA63" s="23">
        <f t="shared" si="294"/>
        <v>4.828218559172754E-2</v>
      </c>
      <c r="BB63" s="6"/>
      <c r="BC63" s="25"/>
      <c r="BD63" s="25"/>
      <c r="BE63" s="25"/>
      <c r="BF63" s="26"/>
      <c r="BG63" s="25"/>
      <c r="BH63" s="26"/>
      <c r="BI63" s="25"/>
      <c r="BJ63" s="26"/>
      <c r="BK63" s="25"/>
      <c r="BL63" s="25"/>
      <c r="BM63" s="26"/>
      <c r="BN63" s="25"/>
      <c r="BO63" s="26"/>
      <c r="BP63" s="25"/>
      <c r="BQ63" s="26"/>
      <c r="BR63" s="25"/>
      <c r="BS63" s="26"/>
      <c r="BT63" s="25"/>
      <c r="BU63" s="33"/>
      <c r="BV63" s="25"/>
      <c r="BW63" s="40"/>
      <c r="BY63" s="48"/>
      <c r="BZ63" s="88"/>
      <c r="CA63" s="88"/>
      <c r="CB63" s="88"/>
      <c r="CC63" s="88"/>
      <c r="CD63" s="88"/>
      <c r="CE63" s="88"/>
      <c r="CF63" s="88"/>
      <c r="CG63" s="88"/>
      <c r="CH63" s="39"/>
      <c r="CI63" s="98"/>
      <c r="CJ63" s="33"/>
      <c r="CK63" s="33"/>
      <c r="CL63" s="33"/>
      <c r="CM63" s="33"/>
      <c r="CN63" s="33"/>
      <c r="CO63" s="33"/>
      <c r="CP63" s="33"/>
      <c r="CQ63" s="39"/>
      <c r="CR63" s="98"/>
      <c r="CS63" s="33"/>
      <c r="CT63" s="33"/>
      <c r="CU63" s="33"/>
      <c r="CV63" s="33"/>
      <c r="CW63" s="33"/>
      <c r="CX63" s="33"/>
      <c r="CY63" s="33"/>
      <c r="CZ63" s="39"/>
      <c r="DA63" s="33"/>
      <c r="DB63" s="33"/>
      <c r="DC63" s="33"/>
      <c r="DD63" s="33"/>
      <c r="DE63" s="33"/>
      <c r="DF63" s="33"/>
      <c r="DG63" s="33"/>
      <c r="DH63" s="39"/>
      <c r="DI63" s="33"/>
      <c r="DJ63" s="33"/>
      <c r="DK63" s="33"/>
      <c r="DL63" s="33"/>
      <c r="DM63" s="33"/>
      <c r="DN63" s="33"/>
      <c r="DO63" s="33"/>
      <c r="DP63" s="39"/>
      <c r="DQ63" s="33"/>
      <c r="DR63" s="33"/>
      <c r="DS63" s="33"/>
      <c r="DT63" s="33"/>
      <c r="DU63" s="33"/>
      <c r="DV63" s="33"/>
      <c r="DW63" s="33"/>
      <c r="DX63"/>
      <c r="DY63" s="33"/>
      <c r="DZ63" s="33"/>
      <c r="EA63" s="33"/>
      <c r="EB63" s="33"/>
      <c r="EC63" s="33"/>
      <c r="ED63" s="33"/>
      <c r="EE63" s="33"/>
      <c r="EG63" s="33"/>
      <c r="EH63" s="33"/>
      <c r="EI63" s="33"/>
      <c r="EJ63" s="33"/>
      <c r="EK63" s="33"/>
      <c r="EL63" s="33"/>
      <c r="EM63" s="33"/>
      <c r="EO63" s="33"/>
      <c r="EP63" s="33"/>
      <c r="EQ63" s="33"/>
      <c r="ER63" s="33"/>
      <c r="ES63" s="33"/>
      <c r="ET63" s="33"/>
      <c r="EU63" s="33"/>
      <c r="EW63" s="33"/>
      <c r="EX63" s="33"/>
      <c r="EY63" s="33"/>
      <c r="EZ63" s="33"/>
      <c r="FA63" s="33"/>
      <c r="FB63" s="33"/>
      <c r="FC63" s="33"/>
      <c r="FE63" s="52"/>
      <c r="FF63" s="52"/>
      <c r="FG63" s="52"/>
      <c r="FH63" s="52"/>
      <c r="FI63" s="52"/>
      <c r="FJ63" s="52"/>
      <c r="FK63" s="52"/>
      <c r="FM63" s="52"/>
      <c r="FN63" s="52"/>
      <c r="FO63" s="52"/>
      <c r="FP63" s="52"/>
      <c r="FQ63" s="52"/>
      <c r="FR63" s="52"/>
      <c r="FS63" s="52"/>
      <c r="FV63" s="52"/>
      <c r="FW63" s="52"/>
      <c r="FX63" s="52"/>
      <c r="FY63" s="52"/>
      <c r="FZ63" s="52"/>
      <c r="GA63" s="52"/>
      <c r="GB63" s="52"/>
      <c r="GD63" s="52"/>
      <c r="GE63" s="52"/>
      <c r="GF63" s="52"/>
      <c r="GG63" s="52"/>
      <c r="GH63" s="52"/>
      <c r="GI63" s="52"/>
      <c r="GJ63" s="52"/>
      <c r="GL63" s="52"/>
      <c r="GM63" s="52"/>
      <c r="GN63" s="52"/>
      <c r="GO63" s="52"/>
      <c r="GP63" s="52"/>
      <c r="GQ63" s="52"/>
      <c r="GR63" s="52"/>
    </row>
    <row r="64" spans="1:200" ht="11.45" customHeight="1">
      <c r="A64" s="37"/>
      <c r="B64" s="64">
        <f>+B63</f>
        <v>6.62E-3</v>
      </c>
      <c r="D64" s="19"/>
      <c r="E64" s="27" t="s">
        <v>269</v>
      </c>
      <c r="F64" s="27" t="s">
        <v>11</v>
      </c>
      <c r="G64" s="28">
        <f>+'Global Properties'!G61</f>
        <v>509.8</v>
      </c>
      <c r="H64" s="29">
        <f>+'Global Properties'!H61</f>
        <v>5790.8182531007678</v>
      </c>
      <c r="I64" s="29"/>
      <c r="J64" s="30">
        <f>1/'Global Properties'!V61</f>
        <v>5.5904276186739897E-2</v>
      </c>
      <c r="K64" s="30">
        <f>1/'Global Properties'!W61</f>
        <v>5.8454295802275395E-2</v>
      </c>
      <c r="L64" s="30">
        <f>1/'Global Properties'!X61</f>
        <v>6.6300510003923105E-2</v>
      </c>
      <c r="M64" s="30">
        <f>1/'Global Properties'!Y61</f>
        <v>6.8458218909376228E-2</v>
      </c>
      <c r="N64" s="30">
        <f>1/'Global Properties'!Z61</f>
        <v>7.5519811690859168E-2</v>
      </c>
      <c r="O64" s="30"/>
      <c r="P64" s="30"/>
      <c r="Q64" s="31"/>
      <c r="R64" s="30">
        <f>+'Global Properties'!AF61</f>
        <v>5.3158101216163205E-2</v>
      </c>
      <c r="S64" s="30">
        <f>+'Global Properties'!AG61</f>
        <v>5.4531188701451558E-2</v>
      </c>
      <c r="T64" s="30"/>
      <c r="U64" s="30">
        <f>+'Global Properties'!AH61</f>
        <v>5.5904276186739904E-2</v>
      </c>
      <c r="V64" s="30">
        <f>+'Global Properties'!AI61</f>
        <v>5.727736367202825E-2</v>
      </c>
      <c r="W64" s="30">
        <f>+'Global Properties'!AJ61</f>
        <v>5.9042761867398978E-2</v>
      </c>
      <c r="X64" s="30">
        <f>+'Global Properties'!AK61</f>
        <v>6.1004315417810914E-2</v>
      </c>
      <c r="Y64" s="30">
        <f>+'Global Properties'!AL61</f>
        <v>6.1985092193016872E-2</v>
      </c>
      <c r="Z64" s="31"/>
      <c r="AA64" s="57" t="s">
        <v>9</v>
      </c>
      <c r="AB64" s="57" t="s">
        <v>9</v>
      </c>
      <c r="AC64" s="57" t="s">
        <v>9</v>
      </c>
      <c r="AD64" s="57" t="s">
        <v>9</v>
      </c>
      <c r="AE64" s="57"/>
      <c r="AF64" s="57"/>
      <c r="AG64" s="57"/>
      <c r="AH64" s="31"/>
      <c r="AI64" s="30">
        <f>1/'Global Properties'!L61</f>
        <v>6.6449252561513253E-2</v>
      </c>
      <c r="AJ64" s="31"/>
      <c r="AK64" s="30">
        <f>1/'Global Properties'!M61</f>
        <v>6.6727736883465935E-2</v>
      </c>
      <c r="AL64" s="30">
        <f>1/'Global Properties'!N61</f>
        <v>6.9563730284575839E-2</v>
      </c>
      <c r="AM64" s="30">
        <f>1/'Global Properties'!O61</f>
        <v>6.9556496925564079E-2</v>
      </c>
      <c r="AN64" s="30">
        <f>1/'Global Properties'!P61</f>
        <v>6.5455440700147818E-2</v>
      </c>
      <c r="AO64" s="30">
        <f>1/'Global Properties'!Q61</f>
        <v>5.7895547195859209E-2</v>
      </c>
      <c r="AP64" s="30">
        <f>1/'Global Properties'!R61</f>
        <v>5.5689501864398291E-2</v>
      </c>
      <c r="AQ64" s="31"/>
      <c r="AR64" s="30" t="s">
        <v>9</v>
      </c>
      <c r="AS64" s="30" t="s">
        <v>9</v>
      </c>
      <c r="AT64" s="30" t="s">
        <v>9</v>
      </c>
      <c r="AU64" s="30" t="s">
        <v>9</v>
      </c>
      <c r="AV64" s="30"/>
      <c r="AW64" s="30"/>
      <c r="AX64" s="30"/>
      <c r="AY64" s="31"/>
      <c r="AZ64" s="30">
        <f t="shared" si="293"/>
        <v>5.8835440700147817E-2</v>
      </c>
      <c r="BA64" s="30">
        <f t="shared" si="294"/>
        <v>6.2943730284575838E-2</v>
      </c>
      <c r="BB64" s="19"/>
      <c r="BC64" s="25"/>
      <c r="BD64" s="18"/>
      <c r="BE64" s="25"/>
      <c r="BF64" s="32"/>
      <c r="BG64" s="25"/>
      <c r="BH64" s="32"/>
      <c r="BI64" s="25"/>
      <c r="BJ64" s="32"/>
      <c r="BK64" s="25"/>
      <c r="BL64" s="25"/>
      <c r="BM64" s="32"/>
      <c r="BN64" s="25"/>
      <c r="BO64" s="32"/>
      <c r="BP64" s="25"/>
      <c r="BQ64" s="32"/>
      <c r="BR64" s="25"/>
      <c r="BS64" s="32"/>
      <c r="BT64" s="25"/>
      <c r="BU64" s="34"/>
      <c r="BV64" s="25"/>
      <c r="BW64" s="41"/>
      <c r="BY64" s="48"/>
      <c r="BZ64" s="88"/>
      <c r="CA64" s="88"/>
      <c r="CB64" s="88"/>
      <c r="CC64" s="88"/>
      <c r="CD64" s="88"/>
      <c r="CE64" s="88"/>
      <c r="CF64" s="88"/>
      <c r="CG64" s="88"/>
      <c r="CH64" s="39"/>
      <c r="CI64" s="99"/>
      <c r="CJ64" s="34"/>
      <c r="CK64" s="34"/>
      <c r="CL64" s="34"/>
      <c r="CM64" s="34"/>
      <c r="CN64" s="34"/>
      <c r="CO64" s="34"/>
      <c r="CP64" s="34"/>
      <c r="CQ64" s="39"/>
      <c r="CR64" s="99"/>
      <c r="CS64" s="34"/>
      <c r="CT64" s="34"/>
      <c r="CU64" s="34"/>
      <c r="CV64" s="34"/>
      <c r="CW64" s="34"/>
      <c r="CX64" s="34"/>
      <c r="CY64" s="34"/>
      <c r="CZ64" s="39"/>
      <c r="DA64" s="34"/>
      <c r="DB64" s="34"/>
      <c r="DC64" s="34"/>
      <c r="DD64" s="34"/>
      <c r="DE64" s="34"/>
      <c r="DF64" s="34"/>
      <c r="DG64" s="34"/>
      <c r="DH64" s="39"/>
      <c r="DI64" s="34"/>
      <c r="DJ64" s="34"/>
      <c r="DK64" s="34"/>
      <c r="DL64" s="34"/>
      <c r="DM64" s="34"/>
      <c r="DN64" s="34"/>
      <c r="DO64" s="34"/>
      <c r="DP64" s="39"/>
      <c r="DQ64" s="34"/>
      <c r="DR64" s="34"/>
      <c r="DS64" s="34"/>
      <c r="DT64" s="34"/>
      <c r="DU64" s="34"/>
      <c r="DV64" s="34"/>
      <c r="DW64" s="34"/>
      <c r="DX64"/>
      <c r="DY64" s="34"/>
      <c r="DZ64" s="34"/>
      <c r="EA64" s="34"/>
      <c r="EB64" s="34"/>
      <c r="EC64" s="34"/>
      <c r="ED64" s="34"/>
      <c r="EE64" s="34"/>
      <c r="EG64" s="34"/>
      <c r="EH64" s="34"/>
      <c r="EI64" s="34"/>
      <c r="EJ64" s="34"/>
      <c r="EK64" s="34"/>
      <c r="EL64" s="34"/>
      <c r="EM64" s="34"/>
      <c r="EO64" s="101"/>
      <c r="EP64" s="101"/>
      <c r="EQ64" s="101"/>
      <c r="ER64" s="101"/>
      <c r="ES64" s="101"/>
      <c r="ET64" s="101"/>
      <c r="EU64" s="101"/>
      <c r="EW64" s="34"/>
      <c r="EX64" s="34"/>
      <c r="EY64" s="34"/>
      <c r="EZ64" s="34"/>
      <c r="FA64" s="34"/>
      <c r="FB64" s="34"/>
      <c r="FC64" s="34"/>
      <c r="FE64" s="54"/>
      <c r="FF64" s="54"/>
      <c r="FG64" s="54"/>
      <c r="FH64" s="54"/>
      <c r="FI64" s="54"/>
      <c r="FJ64" s="54"/>
      <c r="FK64" s="54"/>
      <c r="FL64" s="55"/>
      <c r="FM64" s="54"/>
      <c r="FN64" s="54"/>
      <c r="FO64" s="54"/>
      <c r="FP64" s="54"/>
      <c r="FQ64" s="54"/>
      <c r="FR64" s="54"/>
      <c r="FS64" s="54"/>
      <c r="FT64" s="55"/>
      <c r="FU64" s="55"/>
      <c r="FV64" s="54"/>
      <c r="FW64" s="54"/>
      <c r="FX64" s="54"/>
      <c r="FY64" s="54"/>
      <c r="FZ64" s="54"/>
      <c r="GA64" s="54"/>
      <c r="GB64" s="54"/>
      <c r="GC64" s="55"/>
      <c r="GD64" s="54"/>
      <c r="GE64" s="54"/>
      <c r="GF64" s="54"/>
      <c r="GG64" s="54"/>
      <c r="GH64" s="54"/>
      <c r="GI64" s="54"/>
      <c r="GJ64" s="54"/>
      <c r="GK64" s="55"/>
      <c r="GL64" s="54"/>
      <c r="GM64" s="54"/>
      <c r="GN64" s="54"/>
      <c r="GO64" s="54"/>
      <c r="GP64" s="54"/>
      <c r="GQ64" s="54"/>
      <c r="GR64" s="54"/>
    </row>
    <row r="65" spans="1:200" ht="11.45" customHeight="1">
      <c r="A65" s="37"/>
      <c r="B65" s="64">
        <f>+B64</f>
        <v>6.62E-3</v>
      </c>
      <c r="D65" s="6"/>
      <c r="E65" s="20" t="s">
        <v>270</v>
      </c>
      <c r="F65" s="20" t="s">
        <v>11</v>
      </c>
      <c r="G65" s="21">
        <f>+'Global Properties'!G62</f>
        <v>38.200000000000003</v>
      </c>
      <c r="H65" s="22">
        <f>+'Global Properties'!H62</f>
        <v>632.12410529511135</v>
      </c>
      <c r="I65" s="22"/>
      <c r="J65" s="23" t="s">
        <v>9</v>
      </c>
      <c r="K65" s="23" t="s">
        <v>9</v>
      </c>
      <c r="L65" s="23" t="s">
        <v>9</v>
      </c>
      <c r="M65" s="23" t="s">
        <v>9</v>
      </c>
      <c r="N65" s="23" t="s">
        <v>9</v>
      </c>
      <c r="O65" s="23"/>
      <c r="P65" s="23"/>
      <c r="Q65" s="24"/>
      <c r="R65" s="23">
        <f>+'Global Properties'!AF62</f>
        <v>0.36125654450261785</v>
      </c>
      <c r="S65" s="23">
        <f>+'Global Properties'!AG62</f>
        <v>0.3586387434554974</v>
      </c>
      <c r="T65" s="23"/>
      <c r="U65" s="23">
        <f>+'Global Properties'!AH62</f>
        <v>0.36125654450261785</v>
      </c>
      <c r="V65" s="23">
        <f>+'Global Properties'!AI62</f>
        <v>0.36649214659685869</v>
      </c>
      <c r="W65" s="23">
        <f>+'Global Properties'!AJ62</f>
        <v>0.15183246073298431</v>
      </c>
      <c r="X65" s="23">
        <f>+'Global Properties'!AK62</f>
        <v>0</v>
      </c>
      <c r="Y65" s="23">
        <f>+'Global Properties'!AL62</f>
        <v>0</v>
      </c>
      <c r="Z65" s="24"/>
      <c r="AA65" s="56" t="s">
        <v>9</v>
      </c>
      <c r="AB65" s="56" t="s">
        <v>9</v>
      </c>
      <c r="AC65" s="56" t="s">
        <v>9</v>
      </c>
      <c r="AD65" s="56" t="s">
        <v>9</v>
      </c>
      <c r="AE65" s="56"/>
      <c r="AF65" s="56"/>
      <c r="AG65" s="56"/>
      <c r="AH65" s="24"/>
      <c r="AI65" s="23">
        <f>1/'Global Properties'!L62</f>
        <v>6.8101445840246508E-2</v>
      </c>
      <c r="AJ65" s="24"/>
      <c r="AK65" s="23">
        <f>1/'Global Properties'!M62</f>
        <v>7.2737801449093503E-2</v>
      </c>
      <c r="AL65" s="23">
        <f>1/'Global Properties'!N62</f>
        <v>7.5512736500146393E-2</v>
      </c>
      <c r="AM65" s="23">
        <f>1/'Global Properties'!O62</f>
        <v>7.7004029390850909E-2</v>
      </c>
      <c r="AN65" s="23">
        <f>1/'Global Properties'!P62</f>
        <v>7.5878402557989305E-2</v>
      </c>
      <c r="AO65" s="23">
        <f>1/'Global Properties'!Q62</f>
        <v>6.7771100855606517E-2</v>
      </c>
      <c r="AP65" s="23">
        <f>1/'Global Properties'!R62</f>
        <v>6.000455455943933E-2</v>
      </c>
      <c r="AQ65" s="24"/>
      <c r="AR65" s="23" t="s">
        <v>9</v>
      </c>
      <c r="AS65" s="23" t="s">
        <v>9</v>
      </c>
      <c r="AT65" s="23" t="s">
        <v>9</v>
      </c>
      <c r="AU65" s="23" t="s">
        <v>9</v>
      </c>
      <c r="AV65" s="23"/>
      <c r="AW65" s="23"/>
      <c r="AX65" s="23"/>
      <c r="AY65" s="24"/>
      <c r="AZ65" s="23">
        <f t="shared" si="293"/>
        <v>6.9258402557989304E-2</v>
      </c>
      <c r="BA65" s="23">
        <f t="shared" si="294"/>
        <v>6.8892736500146393E-2</v>
      </c>
      <c r="BB65" s="6"/>
      <c r="BC65" s="25"/>
      <c r="BD65" s="25"/>
      <c r="BE65" s="25"/>
      <c r="BF65" s="26"/>
      <c r="BG65" s="25"/>
      <c r="BH65" s="26"/>
      <c r="BI65" s="25"/>
      <c r="BJ65" s="26"/>
      <c r="BK65" s="25"/>
      <c r="BL65" s="25"/>
      <c r="BM65" s="26"/>
      <c r="BN65" s="25"/>
      <c r="BO65" s="26"/>
      <c r="BP65" s="25"/>
      <c r="BQ65" s="26"/>
      <c r="BR65" s="25"/>
      <c r="BS65" s="26"/>
      <c r="BT65" s="25"/>
      <c r="BU65" s="33"/>
      <c r="BV65" s="25"/>
      <c r="BW65" s="40"/>
      <c r="BY65" s="48"/>
      <c r="BZ65" s="88"/>
      <c r="CA65" s="88"/>
      <c r="CB65" s="88"/>
      <c r="CC65" s="88"/>
      <c r="CD65" s="88"/>
      <c r="CE65" s="88"/>
      <c r="CF65" s="88"/>
      <c r="CG65" s="88"/>
      <c r="CH65" s="39"/>
      <c r="CI65" s="98"/>
      <c r="CJ65" s="33"/>
      <c r="CK65" s="33"/>
      <c r="CL65" s="33"/>
      <c r="CM65" s="33"/>
      <c r="CN65" s="33"/>
      <c r="CO65" s="33"/>
      <c r="CP65" s="33"/>
      <c r="CQ65" s="39"/>
      <c r="CR65" s="98"/>
      <c r="CS65" s="33"/>
      <c r="CT65" s="33"/>
      <c r="CU65" s="33"/>
      <c r="CV65" s="33"/>
      <c r="CW65" s="33"/>
      <c r="CX65" s="33"/>
      <c r="CY65" s="33"/>
      <c r="CZ65" s="39"/>
      <c r="DA65" s="33"/>
      <c r="DB65" s="33"/>
      <c r="DC65" s="33"/>
      <c r="DD65" s="33"/>
      <c r="DE65" s="33"/>
      <c r="DF65" s="33"/>
      <c r="DG65" s="33"/>
      <c r="DH65" s="39"/>
      <c r="DI65" s="33"/>
      <c r="DJ65" s="33"/>
      <c r="DK65" s="33"/>
      <c r="DL65" s="33"/>
      <c r="DM65" s="33"/>
      <c r="DN65" s="33"/>
      <c r="DO65" s="33"/>
      <c r="DP65" s="39"/>
      <c r="DQ65" s="33"/>
      <c r="DR65" s="33"/>
      <c r="DS65" s="33"/>
      <c r="DT65" s="33"/>
      <c r="DU65" s="33"/>
      <c r="DV65" s="33"/>
      <c r="DW65" s="33"/>
      <c r="DX65"/>
      <c r="DY65" s="33"/>
      <c r="DZ65" s="33"/>
      <c r="EA65" s="33"/>
      <c r="EB65" s="33"/>
      <c r="EC65" s="33"/>
      <c r="ED65" s="33"/>
      <c r="EE65" s="33"/>
      <c r="EG65" s="33"/>
      <c r="EH65" s="33"/>
      <c r="EI65" s="33"/>
      <c r="EJ65" s="33"/>
      <c r="EK65" s="33"/>
      <c r="EL65" s="33"/>
      <c r="EM65" s="33"/>
      <c r="EO65" s="33"/>
      <c r="EP65" s="33"/>
      <c r="EQ65" s="33"/>
      <c r="ER65" s="33"/>
      <c r="ES65" s="33"/>
      <c r="ET65" s="33"/>
      <c r="EU65" s="33"/>
      <c r="EW65" s="33"/>
      <c r="EX65" s="33"/>
      <c r="EY65" s="33"/>
      <c r="EZ65" s="33"/>
      <c r="FA65" s="33"/>
      <c r="FB65" s="33"/>
      <c r="FC65" s="33"/>
      <c r="FE65" s="52"/>
      <c r="FF65" s="52"/>
      <c r="FG65" s="52"/>
      <c r="FH65" s="52"/>
      <c r="FI65" s="52"/>
      <c r="FJ65" s="52"/>
      <c r="FK65" s="52"/>
      <c r="FM65" s="52"/>
      <c r="FN65" s="52"/>
      <c r="FO65" s="52"/>
      <c r="FP65" s="52"/>
      <c r="FQ65" s="52"/>
      <c r="FR65" s="52"/>
      <c r="FS65" s="52"/>
      <c r="FV65" s="52"/>
      <c r="FW65" s="52"/>
      <c r="FX65" s="52"/>
      <c r="FY65" s="52"/>
      <c r="FZ65" s="52"/>
      <c r="GA65" s="52"/>
      <c r="GB65" s="52"/>
      <c r="GD65" s="52"/>
      <c r="GE65" s="52"/>
      <c r="GF65" s="52"/>
      <c r="GG65" s="52"/>
      <c r="GH65" s="52"/>
      <c r="GI65" s="52"/>
      <c r="GJ65" s="52"/>
      <c r="GL65" s="52"/>
      <c r="GM65" s="52"/>
      <c r="GN65" s="52"/>
      <c r="GO65" s="52"/>
      <c r="GP65" s="52"/>
      <c r="GQ65" s="52"/>
      <c r="GR65" s="52"/>
    </row>
    <row r="66" spans="1:200" ht="11.45" customHeight="1">
      <c r="A66" s="37"/>
      <c r="B66" s="64">
        <f>+B65</f>
        <v>6.62E-3</v>
      </c>
      <c r="D66" s="19"/>
      <c r="E66" s="27" t="s">
        <v>252</v>
      </c>
      <c r="F66" s="27" t="s">
        <v>11</v>
      </c>
      <c r="G66" s="28">
        <f>+'Global Properties'!G63</f>
        <v>226</v>
      </c>
      <c r="H66" s="29">
        <f>+'Global Properties'!H63</f>
        <v>2114.9029380420566</v>
      </c>
      <c r="I66" s="29"/>
      <c r="J66" s="30">
        <f>1/'Global Properties'!V63</f>
        <v>0.10530973451327436</v>
      </c>
      <c r="K66" s="30">
        <f>1/'Global Properties'!W63</f>
        <v>0.12168141592920356</v>
      </c>
      <c r="L66" s="30">
        <f>1/'Global Properties'!X63</f>
        <v>0.13362831858407082</v>
      </c>
      <c r="M66" s="30">
        <f>1/'Global Properties'!Y63</f>
        <v>0.13805309734513274</v>
      </c>
      <c r="N66" s="30">
        <f>1/'Global Properties'!Z63</f>
        <v>0.14203539823008848</v>
      </c>
      <c r="O66" s="30"/>
      <c r="P66" s="30"/>
      <c r="Q66" s="31"/>
      <c r="R66" s="30">
        <f>+'Global Properties'!AF63</f>
        <v>8.9380530973451347E-2</v>
      </c>
      <c r="S66" s="30">
        <f>+'Global Properties'!AG63</f>
        <v>9.7787610619469043E-2</v>
      </c>
      <c r="T66" s="30"/>
      <c r="U66" s="30">
        <f>+'Global Properties'!AH63</f>
        <v>0.10530973451327436</v>
      </c>
      <c r="V66" s="30">
        <f>+'Global Properties'!AI63</f>
        <v>0.11283185840707965</v>
      </c>
      <c r="W66" s="30">
        <f>+'Global Properties'!AJ63</f>
        <v>0.11592920353982303</v>
      </c>
      <c r="X66" s="30">
        <f>+'Global Properties'!AK63</f>
        <v>0.11415929203539825</v>
      </c>
      <c r="Y66" s="30">
        <f>+'Global Properties'!AL63</f>
        <v>0.11017699115044248</v>
      </c>
      <c r="Z66" s="31"/>
      <c r="AA66" s="57" t="s">
        <v>9</v>
      </c>
      <c r="AB66" s="57" t="s">
        <v>9</v>
      </c>
      <c r="AC66" s="57" t="s">
        <v>9</v>
      </c>
      <c r="AD66" s="57" t="s">
        <v>9</v>
      </c>
      <c r="AE66" s="57"/>
      <c r="AF66" s="57"/>
      <c r="AG66" s="57"/>
      <c r="AH66" s="31"/>
      <c r="AI66" s="30">
        <f>1/'Global Properties'!L63</f>
        <v>5.6300386982014956E-2</v>
      </c>
      <c r="AJ66" s="31"/>
      <c r="AK66" s="30">
        <f>1/'Global Properties'!M63</f>
        <v>6.1138286736435017E-2</v>
      </c>
      <c r="AL66" s="30">
        <f>1/'Global Properties'!N63</f>
        <v>6.8424907418279501E-2</v>
      </c>
      <c r="AM66" s="30">
        <f>1/'Global Properties'!O63</f>
        <v>7.3104167030997702E-2</v>
      </c>
      <c r="AN66" s="30">
        <f>1/'Global Properties'!P63</f>
        <v>7.4705141689380111E-2</v>
      </c>
      <c r="AO66" s="30">
        <f>1/'Global Properties'!Q63</f>
        <v>6.4816156478305437E-2</v>
      </c>
      <c r="AP66" s="30">
        <f>1/'Global Properties'!R63</f>
        <v>5.9819616582183509E-2</v>
      </c>
      <c r="AQ66" s="31"/>
      <c r="AR66" s="30" t="s">
        <v>9</v>
      </c>
      <c r="AS66" s="30" t="s">
        <v>9</v>
      </c>
      <c r="AT66" s="30" t="s">
        <v>9</v>
      </c>
      <c r="AU66" s="30" t="s">
        <v>9</v>
      </c>
      <c r="AV66" s="30"/>
      <c r="AW66" s="30"/>
      <c r="AX66" s="30"/>
      <c r="AY66" s="31"/>
      <c r="AZ66" s="30">
        <f t="shared" si="293"/>
        <v>6.808514168938011E-2</v>
      </c>
      <c r="BA66" s="30">
        <f t="shared" si="294"/>
        <v>6.1804907418279501E-2</v>
      </c>
      <c r="BB66" s="19"/>
      <c r="BC66" s="25"/>
      <c r="BD66" s="18"/>
      <c r="BE66" s="25"/>
      <c r="BF66" s="32"/>
      <c r="BG66" s="25"/>
      <c r="BH66" s="32"/>
      <c r="BI66" s="25"/>
      <c r="BJ66" s="32"/>
      <c r="BK66" s="25"/>
      <c r="BL66" s="25"/>
      <c r="BM66" s="32"/>
      <c r="BN66" s="25"/>
      <c r="BO66" s="32"/>
      <c r="BP66" s="25"/>
      <c r="BQ66" s="32"/>
      <c r="BR66" s="25"/>
      <c r="BS66" s="32"/>
      <c r="BT66" s="25"/>
      <c r="BU66" s="34"/>
      <c r="BV66" s="25"/>
      <c r="BW66" s="41"/>
      <c r="BY66" s="48"/>
      <c r="BZ66" s="88"/>
      <c r="CA66" s="88"/>
      <c r="CB66" s="88"/>
      <c r="CC66" s="88"/>
      <c r="CD66" s="88"/>
      <c r="CE66" s="88"/>
      <c r="CF66" s="88"/>
      <c r="CG66" s="88"/>
      <c r="CH66" s="39"/>
      <c r="CI66" s="99"/>
      <c r="CJ66" s="34"/>
      <c r="CK66" s="34"/>
      <c r="CL66" s="34"/>
      <c r="CM66" s="34"/>
      <c r="CN66" s="34"/>
      <c r="CO66" s="34"/>
      <c r="CP66" s="34"/>
      <c r="CQ66" s="39"/>
      <c r="CR66" s="99"/>
      <c r="CS66" s="34"/>
      <c r="CT66" s="34"/>
      <c r="CU66" s="34"/>
      <c r="CV66" s="34"/>
      <c r="CW66" s="34"/>
      <c r="CX66" s="34"/>
      <c r="CY66" s="34"/>
      <c r="CZ66" s="39"/>
      <c r="DA66" s="34"/>
      <c r="DB66" s="34"/>
      <c r="DC66" s="34"/>
      <c r="DD66" s="34"/>
      <c r="DE66" s="34"/>
      <c r="DF66" s="34"/>
      <c r="DG66" s="34"/>
      <c r="DH66" s="39"/>
      <c r="DI66" s="34"/>
      <c r="DJ66" s="34"/>
      <c r="DK66" s="34"/>
      <c r="DL66" s="34"/>
      <c r="DM66" s="34"/>
      <c r="DN66" s="34"/>
      <c r="DO66" s="34"/>
      <c r="DP66" s="39"/>
      <c r="DQ66" s="34"/>
      <c r="DR66" s="34"/>
      <c r="DS66" s="34"/>
      <c r="DT66" s="34"/>
      <c r="DU66" s="34"/>
      <c r="DV66" s="34"/>
      <c r="DW66" s="34"/>
      <c r="DX66"/>
      <c r="DY66" s="34"/>
      <c r="DZ66" s="34"/>
      <c r="EA66" s="34"/>
      <c r="EB66" s="34"/>
      <c r="EC66" s="34"/>
      <c r="ED66" s="34"/>
      <c r="EE66" s="34"/>
      <c r="EG66" s="34"/>
      <c r="EH66" s="34"/>
      <c r="EI66" s="34"/>
      <c r="EJ66" s="34"/>
      <c r="EK66" s="34"/>
      <c r="EL66" s="34"/>
      <c r="EM66" s="34"/>
      <c r="EO66" s="101"/>
      <c r="EP66" s="101"/>
      <c r="EQ66" s="101"/>
      <c r="ER66" s="101"/>
      <c r="ES66" s="101"/>
      <c r="ET66" s="101"/>
      <c r="EU66" s="101"/>
      <c r="EW66" s="34"/>
      <c r="EX66" s="34"/>
      <c r="EY66" s="34"/>
      <c r="EZ66" s="34"/>
      <c r="FA66" s="34"/>
      <c r="FB66" s="34"/>
      <c r="FC66" s="34"/>
      <c r="FE66" s="54"/>
      <c r="FF66" s="54"/>
      <c r="FG66" s="54"/>
      <c r="FH66" s="54"/>
      <c r="FI66" s="54"/>
      <c r="FJ66" s="54"/>
      <c r="FK66" s="54"/>
      <c r="FL66" s="55"/>
      <c r="FM66" s="54"/>
      <c r="FN66" s="54"/>
      <c r="FO66" s="54"/>
      <c r="FP66" s="54"/>
      <c r="FQ66" s="54"/>
      <c r="FR66" s="54"/>
      <c r="FS66" s="54"/>
      <c r="FT66" s="55"/>
      <c r="FU66" s="55"/>
      <c r="FV66" s="54"/>
      <c r="FW66" s="54"/>
      <c r="FX66" s="54"/>
      <c r="FY66" s="54"/>
      <c r="FZ66" s="54"/>
      <c r="GA66" s="54"/>
      <c r="GB66" s="54"/>
      <c r="GC66" s="55"/>
      <c r="GD66" s="54"/>
      <c r="GE66" s="54"/>
      <c r="GF66" s="54"/>
      <c r="GG66" s="54"/>
      <c r="GH66" s="54"/>
      <c r="GI66" s="54"/>
      <c r="GJ66" s="54"/>
      <c r="GK66" s="55"/>
      <c r="GL66" s="54"/>
      <c r="GM66" s="54"/>
      <c r="GN66" s="54"/>
      <c r="GO66" s="54"/>
      <c r="GP66" s="54"/>
      <c r="GQ66" s="54"/>
      <c r="GR66" s="54"/>
    </row>
    <row r="67" spans="1:200">
      <c r="D67" s="117"/>
      <c r="E67" s="118" t="s">
        <v>8</v>
      </c>
      <c r="F67" s="118"/>
      <c r="G67" s="119"/>
      <c r="H67" s="120"/>
      <c r="I67" s="120"/>
      <c r="J67" s="128">
        <f>+AVERAGE(J61:J66)</f>
        <v>7.8067227642088385E-2</v>
      </c>
      <c r="K67" s="128">
        <f>+AVERAGE(K61:K66)</f>
        <v>8.5401775798334412E-2</v>
      </c>
      <c r="L67" s="128">
        <f>+AVERAGE(L61:L66)</f>
        <v>9.367944274180412E-2</v>
      </c>
      <c r="M67" s="128">
        <f>+AVERAGE(M61:M66)</f>
        <v>9.8810516102240231E-2</v>
      </c>
      <c r="N67" s="128">
        <f>+AVERAGE(N61:N66)</f>
        <v>0.10420803347377007</v>
      </c>
      <c r="O67" s="309"/>
      <c r="P67" s="309"/>
      <c r="Q67" s="128"/>
      <c r="R67" s="128">
        <f>+AVERAGE(R61:R66)</f>
        <v>0.12592395007839172</v>
      </c>
      <c r="S67" s="128">
        <f>+AVERAGE(S61:S66)</f>
        <v>0.12961724712575592</v>
      </c>
      <c r="T67" s="309"/>
      <c r="U67" s="128">
        <f>+AVERAGE(U61:U66)</f>
        <v>0.13317122570963857</v>
      </c>
      <c r="V67" s="12">
        <f>+AVERAGE(V61:V66)</f>
        <v>0.13720936203100817</v>
      </c>
      <c r="W67" s="12">
        <f>+AVERAGE(W61:W66)</f>
        <v>9.8884454685083487E-2</v>
      </c>
      <c r="X67" s="12">
        <f>+AVERAGE(X61:X66)</f>
        <v>7.5551571509990215E-2</v>
      </c>
      <c r="Y67" s="12">
        <f>+AVERAGE(Y61:Y66)</f>
        <v>7.4286114762649708E-2</v>
      </c>
      <c r="Z67" s="13"/>
      <c r="AA67" s="103"/>
      <c r="AB67" s="103"/>
      <c r="AC67" s="103"/>
      <c r="AD67" s="103"/>
      <c r="AE67" s="311"/>
      <c r="AF67" s="311"/>
      <c r="AG67" s="311"/>
      <c r="AH67" s="13"/>
      <c r="AI67" s="12">
        <f>+AVERAGE(AI61:AI66)</f>
        <v>5.4076869219088115E-2</v>
      </c>
      <c r="AJ67" s="13"/>
      <c r="AK67" s="12">
        <f t="shared" ref="AK67:AP67" si="295">+AVERAGE(AK61:AK66)</f>
        <v>6.2398368038507727E-2</v>
      </c>
      <c r="AL67" s="12">
        <f t="shared" si="295"/>
        <v>6.634505686877018E-2</v>
      </c>
      <c r="AM67" s="12">
        <f t="shared" si="295"/>
        <v>6.7497711169428751E-2</v>
      </c>
      <c r="AN67" s="377">
        <f t="shared" si="295"/>
        <v>6.6804326351335E-2</v>
      </c>
      <c r="AO67" s="377">
        <f t="shared" si="295"/>
        <v>6.120135293369431E-2</v>
      </c>
      <c r="AP67" s="377">
        <f t="shared" si="295"/>
        <v>5.8943543873584719E-2</v>
      </c>
      <c r="AQ67" s="378"/>
      <c r="AR67" s="377"/>
      <c r="AS67" s="377"/>
      <c r="AT67" s="377"/>
      <c r="AU67" s="377"/>
      <c r="AV67" s="380"/>
      <c r="AW67" s="380"/>
      <c r="AX67" s="380"/>
      <c r="AY67" s="378"/>
      <c r="AZ67" s="380">
        <f>+AVERAGE(AZ61:AZ66)</f>
        <v>6.2630993018001679E-2</v>
      </c>
      <c r="BA67" s="380">
        <f>+AVERAGE(BA61:BA66)</f>
        <v>6.2171723535436846E-2</v>
      </c>
      <c r="BB67" s="382"/>
      <c r="BC67" s="338"/>
      <c r="BD67" s="338"/>
      <c r="BE67" s="338"/>
      <c r="BF67" s="338"/>
    </row>
    <row r="68" spans="1:200">
      <c r="D68" s="5"/>
      <c r="E68" s="268"/>
    </row>
    <row r="69" spans="1:200">
      <c r="D69" s="5"/>
      <c r="E69" s="115" t="s">
        <v>253</v>
      </c>
    </row>
    <row r="70" spans="1:200" ht="11.45" customHeight="1">
      <c r="A70" s="105"/>
      <c r="B70" s="106">
        <f>+Bloomberg!D24/100</f>
        <v>1.7189999999999997E-2</v>
      </c>
      <c r="D70" s="19"/>
      <c r="E70" s="27" t="s">
        <v>271</v>
      </c>
      <c r="F70" s="27" t="s">
        <v>11</v>
      </c>
      <c r="G70" s="28">
        <f>+'Global Properties'!G66</f>
        <v>2.63</v>
      </c>
      <c r="H70" s="29">
        <f>+'Global Properties'!H66</f>
        <v>6985.2618562572006</v>
      </c>
      <c r="I70" s="29"/>
      <c r="J70" s="30">
        <f>1/'Global Properties'!V66</f>
        <v>3.9923954372623575E-2</v>
      </c>
      <c r="K70" s="30">
        <f>1/'Global Properties'!W66</f>
        <v>3.9543726235741448E-2</v>
      </c>
      <c r="L70" s="30">
        <f>1/'Global Properties'!X66</f>
        <v>4.4486692015209127E-2</v>
      </c>
      <c r="M70" s="30">
        <f>1/'Global Properties'!Y66</f>
        <v>4.3726235741444873E-2</v>
      </c>
      <c r="N70" s="30">
        <f>1/'Global Properties'!Z66</f>
        <v>4.8669201520912544E-2</v>
      </c>
      <c r="O70" s="30"/>
      <c r="P70" s="30"/>
      <c r="Q70" s="31"/>
      <c r="R70" s="30">
        <f>+'Global Properties'!AF66</f>
        <v>4.1825095057034217E-2</v>
      </c>
      <c r="S70" s="30">
        <f>+'Global Properties'!AG66</f>
        <v>4.2205323193916351E-2</v>
      </c>
      <c r="T70" s="30"/>
      <c r="U70" s="30">
        <f>+'Global Properties'!AH66</f>
        <v>4.2205323193916351E-2</v>
      </c>
      <c r="V70" s="30">
        <f>+'Global Properties'!AI66</f>
        <v>4.1825095057034217E-2</v>
      </c>
      <c r="W70" s="30">
        <f>+'Global Properties'!AJ66</f>
        <v>4.2965779467680612E-2</v>
      </c>
      <c r="X70" s="30">
        <f>+'Global Properties'!AK66</f>
        <v>4.5627376425855515E-2</v>
      </c>
      <c r="Y70" s="30">
        <f>+'Global Properties'!AL66</f>
        <v>4.8288973384030418E-2</v>
      </c>
      <c r="Z70" s="31"/>
      <c r="AA70" s="57" t="s">
        <v>9</v>
      </c>
      <c r="AB70" s="57" t="s">
        <v>9</v>
      </c>
      <c r="AC70" s="57" t="s">
        <v>9</v>
      </c>
      <c r="AD70" s="57" t="s">
        <v>9</v>
      </c>
      <c r="AE70" s="57"/>
      <c r="AF70" s="57"/>
      <c r="AG70" s="57"/>
      <c r="AH70" s="31"/>
      <c r="AI70" s="30">
        <f>1/'Global Properties'!L66</f>
        <v>3.4549869446922565E-2</v>
      </c>
      <c r="AJ70" s="31"/>
      <c r="AK70" s="30">
        <f>1/'Global Properties'!M66</f>
        <v>3.3597123567990286E-2</v>
      </c>
      <c r="AL70" s="30">
        <f>1/'Global Properties'!N66</f>
        <v>3.4172074972187882E-2</v>
      </c>
      <c r="AM70" s="30">
        <f>1/'Global Properties'!O66</f>
        <v>3.3471806751172666E-2</v>
      </c>
      <c r="AN70" s="30">
        <f>1/'Global Properties'!P66</f>
        <v>3.5663967450512729E-2</v>
      </c>
      <c r="AO70" s="30">
        <f>1/'Global Properties'!Q66</f>
        <v>3.9284324956110298E-2</v>
      </c>
      <c r="AP70" s="30">
        <f>1/'Global Properties'!R66</f>
        <v>4.1649670269249824E-2</v>
      </c>
      <c r="AQ70" s="31"/>
      <c r="AR70" s="30" t="s">
        <v>9</v>
      </c>
      <c r="AS70" s="30" t="s">
        <v>9</v>
      </c>
      <c r="AT70" s="30" t="s">
        <v>9</v>
      </c>
      <c r="AU70" s="30" t="s">
        <v>9</v>
      </c>
      <c r="AV70" s="30"/>
      <c r="AW70" s="30"/>
      <c r="AX70" s="30"/>
      <c r="AY70" s="31"/>
      <c r="AZ70" s="30">
        <f t="shared" ref="AZ70:AZ75" si="296">+AN70-B70</f>
        <v>1.8473967450512732E-2</v>
      </c>
      <c r="BA70" s="30">
        <f t="shared" ref="BA70:BA75" si="297">+AL70-B70</f>
        <v>1.6982074972187886E-2</v>
      </c>
      <c r="BB70" s="19"/>
      <c r="BC70" s="25"/>
      <c r="BD70" s="18"/>
      <c r="BE70" s="25"/>
      <c r="BF70" s="32"/>
      <c r="BG70" s="25"/>
      <c r="BH70" s="32"/>
      <c r="BI70" s="25"/>
      <c r="BJ70" s="32"/>
      <c r="BK70" s="25"/>
      <c r="BL70" s="25"/>
      <c r="BM70" s="32"/>
      <c r="BN70" s="25"/>
      <c r="BO70" s="32"/>
      <c r="BP70" s="25"/>
      <c r="BQ70" s="32"/>
      <c r="BR70" s="25"/>
      <c r="BS70" s="32"/>
      <c r="BT70" s="25"/>
      <c r="BU70" s="34"/>
      <c r="BV70" s="25"/>
      <c r="BW70" s="41"/>
      <c r="BY70" s="48"/>
      <c r="BZ70" s="88"/>
      <c r="CA70" s="88"/>
      <c r="CB70" s="88"/>
      <c r="CC70" s="88"/>
      <c r="CD70" s="88"/>
      <c r="CE70" s="88"/>
      <c r="CF70" s="88"/>
      <c r="CG70" s="88"/>
      <c r="CH70" s="39"/>
      <c r="CI70" s="99"/>
      <c r="CJ70" s="34"/>
      <c r="CK70" s="34"/>
      <c r="CL70" s="34"/>
      <c r="CM70" s="34"/>
      <c r="CN70" s="34"/>
      <c r="CO70" s="34"/>
      <c r="CP70" s="34"/>
      <c r="CQ70" s="39"/>
      <c r="CR70" s="99"/>
      <c r="CS70" s="34"/>
      <c r="CT70" s="34"/>
      <c r="CU70" s="34"/>
      <c r="CV70" s="34"/>
      <c r="CW70" s="34"/>
      <c r="CX70" s="34"/>
      <c r="CY70" s="34"/>
      <c r="CZ70" s="39"/>
      <c r="DA70" s="34"/>
      <c r="DB70" s="34"/>
      <c r="DC70" s="34"/>
      <c r="DD70" s="34"/>
      <c r="DE70" s="34"/>
      <c r="DF70" s="34"/>
      <c r="DG70" s="34"/>
      <c r="DH70" s="39"/>
      <c r="DI70" s="34"/>
      <c r="DJ70" s="34"/>
      <c r="DK70" s="34"/>
      <c r="DL70" s="34"/>
      <c r="DM70" s="34"/>
      <c r="DN70" s="34"/>
      <c r="DO70" s="34"/>
      <c r="DP70" s="39"/>
      <c r="DQ70" s="34"/>
      <c r="DR70" s="34"/>
      <c r="DS70" s="34"/>
      <c r="DT70" s="34"/>
      <c r="DU70" s="34"/>
      <c r="DV70" s="34"/>
      <c r="DW70" s="34"/>
      <c r="DX70"/>
      <c r="DY70" s="34"/>
      <c r="DZ70" s="34"/>
      <c r="EA70" s="34"/>
      <c r="EB70" s="34"/>
      <c r="EC70" s="34"/>
      <c r="ED70" s="34"/>
      <c r="EE70" s="34"/>
      <c r="EG70" s="34"/>
      <c r="EH70" s="34"/>
      <c r="EI70" s="34"/>
      <c r="EJ70" s="34"/>
      <c r="EK70" s="34"/>
      <c r="EL70" s="34"/>
      <c r="EM70" s="34"/>
      <c r="EO70" s="101"/>
      <c r="EP70" s="101"/>
      <c r="EQ70" s="101"/>
      <c r="ER70" s="101"/>
      <c r="ES70" s="101"/>
      <c r="ET70" s="101"/>
      <c r="EU70" s="101"/>
      <c r="EW70" s="34"/>
      <c r="EX70" s="34"/>
      <c r="EY70" s="34"/>
      <c r="EZ70" s="34"/>
      <c r="FA70" s="34"/>
      <c r="FB70" s="34"/>
      <c r="FC70" s="34"/>
      <c r="FE70" s="54"/>
      <c r="FF70" s="54"/>
      <c r="FG70" s="54"/>
      <c r="FH70" s="54"/>
      <c r="FI70" s="54"/>
      <c r="FJ70" s="54"/>
      <c r="FK70" s="54"/>
      <c r="FL70" s="55"/>
      <c r="FM70" s="54"/>
      <c r="FN70" s="54"/>
      <c r="FO70" s="54"/>
      <c r="FP70" s="54"/>
      <c r="FQ70" s="54"/>
      <c r="FR70" s="54"/>
      <c r="FS70" s="54"/>
      <c r="FT70" s="55"/>
      <c r="FU70" s="55"/>
      <c r="FV70" s="54"/>
      <c r="FW70" s="54"/>
      <c r="FX70" s="54"/>
      <c r="FY70" s="54"/>
      <c r="FZ70" s="54"/>
      <c r="GA70" s="54"/>
      <c r="GB70" s="54"/>
      <c r="GC70" s="55"/>
      <c r="GD70" s="54"/>
      <c r="GE70" s="54"/>
      <c r="GF70" s="54"/>
      <c r="GG70" s="54"/>
      <c r="GH70" s="54"/>
      <c r="GI70" s="54"/>
      <c r="GJ70" s="54"/>
      <c r="GK70" s="55"/>
      <c r="GL70" s="54"/>
      <c r="GM70" s="54"/>
      <c r="GN70" s="54"/>
      <c r="GO70" s="54"/>
      <c r="GP70" s="54"/>
      <c r="GQ70" s="54"/>
      <c r="GR70" s="54"/>
    </row>
    <row r="71" spans="1:200" ht="11.45" customHeight="1">
      <c r="A71" s="37"/>
      <c r="B71" s="106">
        <f>+Bloomberg!D23/100</f>
        <v>1.4999999999999999E-2</v>
      </c>
      <c r="D71" s="6"/>
      <c r="E71" s="20" t="s">
        <v>272</v>
      </c>
      <c r="F71" s="20" t="s">
        <v>11</v>
      </c>
      <c r="G71" s="21">
        <f>+'Global Properties'!G67</f>
        <v>89.9</v>
      </c>
      <c r="H71" s="22">
        <f>+'Global Properties'!H67</f>
        <v>24136.379937974027</v>
      </c>
      <c r="I71" s="22"/>
      <c r="J71" s="23">
        <f>1/'Global Properties'!V67</f>
        <v>1.8353726362625139E-2</v>
      </c>
      <c r="K71" s="23">
        <f>1/'Global Properties'!W67</f>
        <v>2.1802002224694104E-2</v>
      </c>
      <c r="L71" s="23">
        <f>1/'Global Properties'!X67</f>
        <v>2.4471635150166853E-2</v>
      </c>
      <c r="M71" s="23">
        <f>1/'Global Properties'!Y67</f>
        <v>2.797552836484983E-2</v>
      </c>
      <c r="N71" s="393" t="s">
        <v>318</v>
      </c>
      <c r="O71" s="393"/>
      <c r="P71" s="23"/>
      <c r="Q71" s="24"/>
      <c r="R71" s="23">
        <f>+'Global Properties'!AF67</f>
        <v>1.8286985539488321E-2</v>
      </c>
      <c r="S71" s="23">
        <f>+'Global Properties'!AG67</f>
        <v>2.0211345939933255E-2</v>
      </c>
      <c r="T71" s="23"/>
      <c r="U71" s="23">
        <f>+'Global Properties'!AH67</f>
        <v>2.24916573971079E-2</v>
      </c>
      <c r="V71" s="23">
        <f>+'Global Properties'!AI67</f>
        <v>2.4905450500556169E-2</v>
      </c>
      <c r="W71" s="23">
        <f>+'Global Properties'!AJ67</f>
        <v>2.7830923248053394E-2</v>
      </c>
      <c r="X71" s="23">
        <f>+'Global Properties'!AK67</f>
        <v>3.0100111234705226E-2</v>
      </c>
      <c r="Y71" s="23">
        <f>+'Global Properties'!AL67</f>
        <v>3.2680756395995554E-2</v>
      </c>
      <c r="Z71" s="24"/>
      <c r="AA71" s="56" t="s">
        <v>9</v>
      </c>
      <c r="AB71" s="56" t="s">
        <v>9</v>
      </c>
      <c r="AC71" s="56" t="s">
        <v>9</v>
      </c>
      <c r="AD71" s="56" t="s">
        <v>9</v>
      </c>
      <c r="AE71" s="56"/>
      <c r="AF71" s="56"/>
      <c r="AG71" s="56"/>
      <c r="AH71" s="24"/>
      <c r="AI71" s="23">
        <f>1/'Global Properties'!L67</f>
        <v>2.3190165222537005E-2</v>
      </c>
      <c r="AJ71" s="24"/>
      <c r="AK71" s="23">
        <f>1/'Global Properties'!M67</f>
        <v>2.5007250228047725E-2</v>
      </c>
      <c r="AL71" s="23">
        <f>1/'Global Properties'!N67</f>
        <v>2.8604278869283531E-2</v>
      </c>
      <c r="AM71" s="23">
        <f>1/'Global Properties'!O67</f>
        <v>3.161201574669234E-2</v>
      </c>
      <c r="AN71" s="23">
        <f>1/'Global Properties'!P67</f>
        <v>3.3651386222889809E-2</v>
      </c>
      <c r="AO71" s="23">
        <f>1/'Global Properties'!Q67</f>
        <v>3.5036975902949782E-2</v>
      </c>
      <c r="AP71" s="23">
        <f>1/'Global Properties'!R67</f>
        <v>3.782525050775714E-2</v>
      </c>
      <c r="AQ71" s="24"/>
      <c r="AR71" s="23" t="s">
        <v>9</v>
      </c>
      <c r="AS71" s="23" t="s">
        <v>9</v>
      </c>
      <c r="AT71" s="23" t="s">
        <v>9</v>
      </c>
      <c r="AU71" s="23" t="s">
        <v>9</v>
      </c>
      <c r="AV71" s="23"/>
      <c r="AW71" s="23"/>
      <c r="AX71" s="23"/>
      <c r="AY71" s="24"/>
      <c r="AZ71" s="23">
        <f t="shared" si="296"/>
        <v>1.865138622288981E-2</v>
      </c>
      <c r="BA71" s="23">
        <f t="shared" si="297"/>
        <v>1.3604278869283531E-2</v>
      </c>
      <c r="BB71" s="6"/>
      <c r="BC71" s="25"/>
      <c r="BD71" s="25"/>
      <c r="BE71" s="25"/>
      <c r="BF71" s="26"/>
      <c r="BG71" s="25"/>
      <c r="BH71" s="26"/>
      <c r="BI71" s="25"/>
      <c r="BJ71" s="26"/>
      <c r="BK71" s="25"/>
      <c r="BL71" s="25"/>
      <c r="BM71" s="26"/>
      <c r="BN71" s="25"/>
      <c r="BO71" s="26"/>
      <c r="BP71" s="25"/>
      <c r="BQ71" s="26"/>
      <c r="BR71" s="25"/>
      <c r="BS71" s="26"/>
      <c r="BT71" s="25"/>
      <c r="BU71" s="33"/>
      <c r="BV71" s="25"/>
      <c r="BW71" s="40"/>
      <c r="BY71" s="48"/>
      <c r="BZ71" s="88"/>
      <c r="CA71" s="88"/>
      <c r="CB71" s="88"/>
      <c r="CC71" s="88"/>
      <c r="CD71" s="88"/>
      <c r="CE71" s="88"/>
      <c r="CF71" s="88"/>
      <c r="CG71" s="88"/>
      <c r="CH71" s="39"/>
      <c r="CI71" s="98"/>
      <c r="CJ71" s="33"/>
      <c r="CK71" s="33"/>
      <c r="CL71" s="33"/>
      <c r="CM71" s="33"/>
      <c r="CN71" s="33"/>
      <c r="CO71" s="33"/>
      <c r="CP71" s="33"/>
      <c r="CQ71" s="39"/>
      <c r="CR71" s="98"/>
      <c r="CS71" s="33"/>
      <c r="CT71" s="33"/>
      <c r="CU71" s="33"/>
      <c r="CV71" s="33"/>
      <c r="CW71" s="33"/>
      <c r="CX71" s="33"/>
      <c r="CY71" s="33"/>
      <c r="CZ71" s="39"/>
      <c r="DA71" s="33"/>
      <c r="DB71" s="33"/>
      <c r="DC71" s="33"/>
      <c r="DD71" s="33"/>
      <c r="DE71" s="33"/>
      <c r="DF71" s="33"/>
      <c r="DG71" s="33"/>
      <c r="DH71" s="39"/>
      <c r="DI71" s="33"/>
      <c r="DJ71" s="33"/>
      <c r="DK71" s="33"/>
      <c r="DL71" s="33"/>
      <c r="DM71" s="33"/>
      <c r="DN71" s="33"/>
      <c r="DO71" s="33"/>
      <c r="DP71" s="39"/>
      <c r="DQ71" s="33"/>
      <c r="DR71" s="33"/>
      <c r="DS71" s="33"/>
      <c r="DT71" s="33"/>
      <c r="DU71" s="33"/>
      <c r="DV71" s="33"/>
      <c r="DW71" s="33"/>
      <c r="DX71"/>
      <c r="DY71" s="33"/>
      <c r="DZ71" s="33"/>
      <c r="EA71" s="33"/>
      <c r="EB71" s="33"/>
      <c r="EC71" s="33"/>
      <c r="ED71" s="33"/>
      <c r="EE71" s="33"/>
      <c r="EG71" s="33"/>
      <c r="EH71" s="33"/>
      <c r="EI71" s="33"/>
      <c r="EJ71" s="33"/>
      <c r="EK71" s="33"/>
      <c r="EL71" s="33"/>
      <c r="EM71" s="33"/>
      <c r="EO71" s="33"/>
      <c r="EP71" s="33"/>
      <c r="EQ71" s="33"/>
      <c r="ER71" s="33"/>
      <c r="ES71" s="33"/>
      <c r="ET71" s="33"/>
      <c r="EU71" s="33"/>
      <c r="EW71" s="33"/>
      <c r="EX71" s="33"/>
      <c r="EY71" s="33"/>
      <c r="EZ71" s="33"/>
      <c r="FA71" s="33"/>
      <c r="FB71" s="33"/>
      <c r="FC71" s="33"/>
      <c r="FE71" s="52"/>
      <c r="FF71" s="52"/>
      <c r="FG71" s="52"/>
      <c r="FH71" s="52"/>
      <c r="FI71" s="52"/>
      <c r="FJ71" s="52"/>
      <c r="FK71" s="52"/>
      <c r="FM71" s="52"/>
      <c r="FN71" s="52"/>
      <c r="FO71" s="52"/>
      <c r="FP71" s="52"/>
      <c r="FQ71" s="52"/>
      <c r="FR71" s="52"/>
      <c r="FS71" s="52"/>
      <c r="FV71" s="52"/>
      <c r="FW71" s="52"/>
      <c r="FX71" s="52"/>
      <c r="FY71" s="52"/>
      <c r="FZ71" s="52"/>
      <c r="GA71" s="52"/>
      <c r="GB71" s="52"/>
      <c r="GD71" s="52"/>
      <c r="GE71" s="52"/>
      <c r="GF71" s="52"/>
      <c r="GG71" s="52"/>
      <c r="GH71" s="52"/>
      <c r="GI71" s="52"/>
      <c r="GJ71" s="52"/>
      <c r="GL71" s="52"/>
      <c r="GM71" s="52"/>
      <c r="GN71" s="52"/>
      <c r="GO71" s="52"/>
      <c r="GP71" s="52"/>
      <c r="GQ71" s="52"/>
      <c r="GR71" s="52"/>
    </row>
    <row r="72" spans="1:200" ht="11.45" customHeight="1">
      <c r="A72" s="37"/>
      <c r="B72" s="64">
        <f>+B71</f>
        <v>1.4999999999999999E-2</v>
      </c>
      <c r="D72" s="19"/>
      <c r="E72" s="27" t="s">
        <v>254</v>
      </c>
      <c r="F72" s="27" t="s">
        <v>11</v>
      </c>
      <c r="G72" s="28">
        <f>+'Global Properties'!G68</f>
        <v>5.25</v>
      </c>
      <c r="H72" s="29">
        <f>+'Global Properties'!H68</f>
        <v>3920.5547277600026</v>
      </c>
      <c r="I72" s="29"/>
      <c r="J72" s="30">
        <f>1/'Global Properties'!V68</f>
        <v>3.4285714285714287E-2</v>
      </c>
      <c r="K72" s="30">
        <f>1/'Global Properties'!W68</f>
        <v>3.4285714285714287E-2</v>
      </c>
      <c r="L72" s="30">
        <f>1/'Global Properties'!X68</f>
        <v>0.04</v>
      </c>
      <c r="M72" s="30">
        <f>1/'Global Properties'!Y68</f>
        <v>4.3809523809523812E-2</v>
      </c>
      <c r="N72" s="30">
        <f>1/'Global Properties'!Z68</f>
        <v>4.5714285714285714E-2</v>
      </c>
      <c r="O72" s="30"/>
      <c r="P72" s="30"/>
      <c r="Q72" s="31"/>
      <c r="R72" s="30">
        <f>+'Global Properties'!AF68</f>
        <v>3.7523809523809522E-2</v>
      </c>
      <c r="S72" s="30">
        <f>+'Global Properties'!AG68</f>
        <v>3.6571428571428567E-2</v>
      </c>
      <c r="T72" s="30"/>
      <c r="U72" s="30">
        <f>+'Global Properties'!AH68</f>
        <v>4.190476190476191E-2</v>
      </c>
      <c r="V72" s="30">
        <f>+'Global Properties'!AI68</f>
        <v>4.59047619047619E-2</v>
      </c>
      <c r="W72" s="30">
        <f>+'Global Properties'!AJ68</f>
        <v>4.9142857142857148E-2</v>
      </c>
      <c r="X72" s="30">
        <f>+'Global Properties'!AK68</f>
        <v>5.2761904761904767E-2</v>
      </c>
      <c r="Y72" s="30">
        <f>+'Global Properties'!AL68</f>
        <v>5.5428571428571424E-2</v>
      </c>
      <c r="Z72" s="31"/>
      <c r="AA72" s="57" t="s">
        <v>9</v>
      </c>
      <c r="AB72" s="57" t="s">
        <v>9</v>
      </c>
      <c r="AC72" s="57" t="s">
        <v>9</v>
      </c>
      <c r="AD72" s="57" t="s">
        <v>9</v>
      </c>
      <c r="AE72" s="57"/>
      <c r="AF72" s="57"/>
      <c r="AG72" s="57"/>
      <c r="AH72" s="31"/>
      <c r="AI72" s="30">
        <f>1/'Global Properties'!L68</f>
        <v>3.531126994967744E-2</v>
      </c>
      <c r="AJ72" s="31"/>
      <c r="AK72" s="30">
        <f>1/'Global Properties'!M68</f>
        <v>3.6821533702139177E-2</v>
      </c>
      <c r="AL72" s="30">
        <f>1/'Global Properties'!N68</f>
        <v>3.8623241523124741E-2</v>
      </c>
      <c r="AM72" s="30">
        <f>1/'Global Properties'!O68</f>
        <v>4.2295477589148006E-2</v>
      </c>
      <c r="AN72" s="30">
        <f>1/'Global Properties'!P68</f>
        <v>4.6401649550306359E-2</v>
      </c>
      <c r="AO72" s="30">
        <f>1/'Global Properties'!Q68</f>
        <v>5.0462077237506467E-2</v>
      </c>
      <c r="AP72" s="30">
        <f>1/'Global Properties'!R68</f>
        <v>5.2048528554276247E-2</v>
      </c>
      <c r="AQ72" s="31"/>
      <c r="AR72" s="30" t="s">
        <v>9</v>
      </c>
      <c r="AS72" s="30" t="s">
        <v>9</v>
      </c>
      <c r="AT72" s="30" t="s">
        <v>9</v>
      </c>
      <c r="AU72" s="30" t="s">
        <v>9</v>
      </c>
      <c r="AV72" s="30"/>
      <c r="AW72" s="30"/>
      <c r="AX72" s="30"/>
      <c r="AY72" s="31"/>
      <c r="AZ72" s="30">
        <f t="shared" si="296"/>
        <v>3.140164955030636E-2</v>
      </c>
      <c r="BA72" s="30">
        <f t="shared" si="297"/>
        <v>2.3623241523124741E-2</v>
      </c>
      <c r="BB72" s="19"/>
      <c r="BC72" s="25"/>
      <c r="BD72" s="18"/>
      <c r="BE72" s="25"/>
      <c r="BF72" s="32"/>
      <c r="BG72" s="25"/>
      <c r="BH72" s="32"/>
      <c r="BI72" s="25"/>
      <c r="BJ72" s="32"/>
      <c r="BK72" s="25"/>
      <c r="BL72" s="25"/>
      <c r="BM72" s="32"/>
      <c r="BN72" s="25"/>
      <c r="BO72" s="32"/>
      <c r="BP72" s="25"/>
      <c r="BQ72" s="32"/>
      <c r="BR72" s="25"/>
      <c r="BS72" s="32"/>
      <c r="BT72" s="25"/>
      <c r="BU72" s="34"/>
      <c r="BV72" s="25"/>
      <c r="BW72" s="41"/>
      <c r="BY72" s="48"/>
      <c r="BZ72" s="88"/>
      <c r="CA72" s="88"/>
      <c r="CB72" s="88"/>
      <c r="CC72" s="88"/>
      <c r="CD72" s="88"/>
      <c r="CE72" s="88"/>
      <c r="CF72" s="88"/>
      <c r="CG72" s="88"/>
      <c r="CH72" s="39"/>
      <c r="CI72" s="99"/>
      <c r="CJ72" s="34"/>
      <c r="CK72" s="34"/>
      <c r="CL72" s="34"/>
      <c r="CM72" s="34"/>
      <c r="CN72" s="34"/>
      <c r="CO72" s="34"/>
      <c r="CP72" s="34"/>
      <c r="CQ72" s="39"/>
      <c r="CR72" s="99"/>
      <c r="CS72" s="34"/>
      <c r="CT72" s="34"/>
      <c r="CU72" s="34"/>
      <c r="CV72" s="34"/>
      <c r="CW72" s="34"/>
      <c r="CX72" s="34"/>
      <c r="CY72" s="34"/>
      <c r="CZ72" s="39"/>
      <c r="DA72" s="34"/>
      <c r="DB72" s="34"/>
      <c r="DC72" s="34"/>
      <c r="DD72" s="34"/>
      <c r="DE72" s="34"/>
      <c r="DF72" s="34"/>
      <c r="DG72" s="34"/>
      <c r="DH72" s="39"/>
      <c r="DI72" s="34"/>
      <c r="DJ72" s="34"/>
      <c r="DK72" s="34"/>
      <c r="DL72" s="34"/>
      <c r="DM72" s="34"/>
      <c r="DN72" s="34"/>
      <c r="DO72" s="34"/>
      <c r="DP72" s="39"/>
      <c r="DQ72" s="34"/>
      <c r="DR72" s="34"/>
      <c r="DS72" s="34"/>
      <c r="DT72" s="34"/>
      <c r="DU72" s="34"/>
      <c r="DV72" s="34"/>
      <c r="DW72" s="34"/>
      <c r="DX72"/>
      <c r="DY72" s="34"/>
      <c r="DZ72" s="34"/>
      <c r="EA72" s="34"/>
      <c r="EB72" s="34"/>
      <c r="EC72" s="34"/>
      <c r="ED72" s="34"/>
      <c r="EE72" s="34"/>
      <c r="EG72" s="34"/>
      <c r="EH72" s="34"/>
      <c r="EI72" s="34"/>
      <c r="EJ72" s="34"/>
      <c r="EK72" s="34"/>
      <c r="EL72" s="34"/>
      <c r="EM72" s="34"/>
      <c r="EO72" s="101"/>
      <c r="EP72" s="101"/>
      <c r="EQ72" s="101"/>
      <c r="ER72" s="101"/>
      <c r="ES72" s="101"/>
      <c r="ET72" s="101"/>
      <c r="EU72" s="101"/>
      <c r="EW72" s="34"/>
      <c r="EX72" s="34"/>
      <c r="EY72" s="34"/>
      <c r="EZ72" s="34"/>
      <c r="FA72" s="34"/>
      <c r="FB72" s="34"/>
      <c r="FC72" s="34"/>
      <c r="FE72" s="54"/>
      <c r="FF72" s="54"/>
      <c r="FG72" s="54"/>
      <c r="FH72" s="54"/>
      <c r="FI72" s="54"/>
      <c r="FJ72" s="54"/>
      <c r="FK72" s="54"/>
      <c r="FL72" s="55"/>
      <c r="FM72" s="54"/>
      <c r="FN72" s="54"/>
      <c r="FO72" s="54"/>
      <c r="FP72" s="54"/>
      <c r="FQ72" s="54"/>
      <c r="FR72" s="54"/>
      <c r="FS72" s="54"/>
      <c r="FT72" s="55"/>
      <c r="FU72" s="55"/>
      <c r="FV72" s="54"/>
      <c r="FW72" s="54"/>
      <c r="FX72" s="54"/>
      <c r="FY72" s="54"/>
      <c r="FZ72" s="54"/>
      <c r="GA72" s="54"/>
      <c r="GB72" s="54"/>
      <c r="GC72" s="55"/>
      <c r="GD72" s="54"/>
      <c r="GE72" s="54"/>
      <c r="GF72" s="54"/>
      <c r="GG72" s="54"/>
      <c r="GH72" s="54"/>
      <c r="GI72" s="54"/>
      <c r="GJ72" s="54"/>
      <c r="GK72" s="55"/>
      <c r="GL72" s="54"/>
      <c r="GM72" s="54"/>
      <c r="GN72" s="54"/>
      <c r="GO72" s="54"/>
      <c r="GP72" s="54"/>
      <c r="GQ72" s="54"/>
      <c r="GR72" s="54"/>
    </row>
    <row r="73" spans="1:200" ht="11.45" customHeight="1">
      <c r="A73" s="37"/>
      <c r="B73" s="64">
        <f>+B72</f>
        <v>1.4999999999999999E-2</v>
      </c>
      <c r="D73" s="6"/>
      <c r="E73" s="20" t="s">
        <v>273</v>
      </c>
      <c r="F73" s="20" t="s">
        <v>11</v>
      </c>
      <c r="G73" s="21">
        <f>+'Global Properties'!G69</f>
        <v>9.2100000000000009</v>
      </c>
      <c r="H73" s="22">
        <f>+'Global Properties'!H69</f>
        <v>2270.4530506583728</v>
      </c>
      <c r="I73" s="22"/>
      <c r="J73" s="23">
        <f>1/'Global Properties'!V69</f>
        <v>8.2519001085776325E-2</v>
      </c>
      <c r="K73" s="23">
        <f>1/'Global Properties'!W69</f>
        <v>4.6688382193268187E-2</v>
      </c>
      <c r="L73" s="23">
        <f>1/'Global Properties'!X69</f>
        <v>4.7231270358306182E-2</v>
      </c>
      <c r="M73" s="23">
        <f>1/'Global Properties'!Y69</f>
        <v>4.6688382193268187E-2</v>
      </c>
      <c r="N73" s="23">
        <f>1/'Global Properties'!Z69</f>
        <v>9.8262757871878381E-2</v>
      </c>
      <c r="O73" s="23"/>
      <c r="P73" s="23"/>
      <c r="Q73" s="24"/>
      <c r="R73" s="23">
        <f>+'Global Properties'!AF69</f>
        <v>4.5385450597176975E-2</v>
      </c>
      <c r="S73" s="23">
        <f>+'Global Properties'!AG69</f>
        <v>5.0162866449511394E-2</v>
      </c>
      <c r="T73" s="23"/>
      <c r="U73" s="23">
        <f>+'Global Properties'!AH69</f>
        <v>5.3637350705754615E-2</v>
      </c>
      <c r="V73" s="23">
        <f>+'Global Properties'!AI69</f>
        <v>5.4940282301845819E-2</v>
      </c>
      <c r="W73" s="23">
        <f>+'Global Properties'!AJ69</f>
        <v>5.6786102062975026E-2</v>
      </c>
      <c r="X73" s="23">
        <f>+'Global Properties'!AK69</f>
        <v>5.7328990228013028E-2</v>
      </c>
      <c r="Y73" s="23">
        <f>+'Global Properties'!AL69</f>
        <v>6.004343105320304E-2</v>
      </c>
      <c r="Z73" s="24"/>
      <c r="AA73" s="56" t="s">
        <v>9</v>
      </c>
      <c r="AB73" s="56" t="s">
        <v>9</v>
      </c>
      <c r="AC73" s="56" t="s">
        <v>9</v>
      </c>
      <c r="AD73" s="56" t="s">
        <v>9</v>
      </c>
      <c r="AE73" s="56"/>
      <c r="AF73" s="56"/>
      <c r="AG73" s="56"/>
      <c r="AH73" s="24"/>
      <c r="AI73" s="23">
        <f>1/'Global Properties'!L69</f>
        <v>4.012140246353068E-2</v>
      </c>
      <c r="AJ73" s="24"/>
      <c r="AK73" s="23">
        <f>1/'Global Properties'!M69</f>
        <v>4.6131956076864947E-2</v>
      </c>
      <c r="AL73" s="23">
        <f>1/'Global Properties'!N69</f>
        <v>5.1152605965485945E-2</v>
      </c>
      <c r="AM73" s="23">
        <f>1/'Global Properties'!O69</f>
        <v>5.1453401632619487E-2</v>
      </c>
      <c r="AN73" s="23">
        <f>1/'Global Properties'!P69</f>
        <v>5.2480670327565981E-2</v>
      </c>
      <c r="AO73" s="23">
        <f>1/'Global Properties'!Q69</f>
        <v>5.3150636494657379E-2</v>
      </c>
      <c r="AP73" s="23">
        <f>1/'Global Properties'!R69</f>
        <v>5.6321835208077334E-2</v>
      </c>
      <c r="AQ73" s="24"/>
      <c r="AR73" s="23" t="s">
        <v>9</v>
      </c>
      <c r="AS73" s="23" t="s">
        <v>9</v>
      </c>
      <c r="AT73" s="23" t="s">
        <v>9</v>
      </c>
      <c r="AU73" s="23" t="s">
        <v>9</v>
      </c>
      <c r="AV73" s="23"/>
      <c r="AW73" s="23"/>
      <c r="AX73" s="23"/>
      <c r="AY73" s="24"/>
      <c r="AZ73" s="23">
        <f t="shared" si="296"/>
        <v>3.7480670327565982E-2</v>
      </c>
      <c r="BA73" s="23">
        <f t="shared" si="297"/>
        <v>3.6152605965485946E-2</v>
      </c>
      <c r="BB73" s="6"/>
      <c r="BC73" s="25"/>
      <c r="BD73" s="25"/>
      <c r="BE73" s="25"/>
      <c r="BF73" s="26"/>
      <c r="BG73" s="25"/>
      <c r="BH73" s="26"/>
      <c r="BI73" s="25"/>
      <c r="BJ73" s="26"/>
      <c r="BK73" s="25"/>
      <c r="BL73" s="25"/>
      <c r="BM73" s="26"/>
      <c r="BN73" s="25"/>
      <c r="BO73" s="26"/>
      <c r="BP73" s="25"/>
      <c r="BQ73" s="26"/>
      <c r="BR73" s="25"/>
      <c r="BS73" s="26"/>
      <c r="BT73" s="25"/>
      <c r="BU73" s="33"/>
      <c r="BV73" s="25"/>
      <c r="BW73" s="40"/>
      <c r="BY73" s="48"/>
      <c r="BZ73" s="88"/>
      <c r="CA73" s="88"/>
      <c r="CB73" s="88"/>
      <c r="CC73" s="88"/>
      <c r="CD73" s="88"/>
      <c r="CE73" s="88"/>
      <c r="CF73" s="88"/>
      <c r="CG73" s="88"/>
      <c r="CH73" s="39"/>
      <c r="CI73" s="98"/>
      <c r="CJ73" s="33"/>
      <c r="CK73" s="33"/>
      <c r="CL73" s="33"/>
      <c r="CM73" s="33"/>
      <c r="CN73" s="33"/>
      <c r="CO73" s="33"/>
      <c r="CP73" s="33"/>
      <c r="CQ73" s="39"/>
      <c r="CR73" s="98"/>
      <c r="CS73" s="33"/>
      <c r="CT73" s="33"/>
      <c r="CU73" s="33"/>
      <c r="CV73" s="33"/>
      <c r="CW73" s="33"/>
      <c r="CX73" s="33"/>
      <c r="CY73" s="33"/>
      <c r="CZ73" s="39"/>
      <c r="DA73" s="33"/>
      <c r="DB73" s="33"/>
      <c r="DC73" s="33"/>
      <c r="DD73" s="33"/>
      <c r="DE73" s="33"/>
      <c r="DF73" s="33"/>
      <c r="DG73" s="33"/>
      <c r="DH73" s="39"/>
      <c r="DI73" s="33"/>
      <c r="DJ73" s="33"/>
      <c r="DK73" s="33"/>
      <c r="DL73" s="33"/>
      <c r="DM73" s="33"/>
      <c r="DN73" s="33"/>
      <c r="DO73" s="33"/>
      <c r="DP73" s="39"/>
      <c r="DQ73" s="33"/>
      <c r="DR73" s="33"/>
      <c r="DS73" s="33"/>
      <c r="DT73" s="33"/>
      <c r="DU73" s="33"/>
      <c r="DV73" s="33"/>
      <c r="DW73" s="33"/>
      <c r="DX73"/>
      <c r="DY73" s="33"/>
      <c r="DZ73" s="33"/>
      <c r="EA73" s="33"/>
      <c r="EB73" s="33"/>
      <c r="EC73" s="33"/>
      <c r="ED73" s="33"/>
      <c r="EE73" s="33"/>
      <c r="EG73" s="33"/>
      <c r="EH73" s="33"/>
      <c r="EI73" s="33"/>
      <c r="EJ73" s="33"/>
      <c r="EK73" s="33"/>
      <c r="EL73" s="33"/>
      <c r="EM73" s="33"/>
      <c r="EO73" s="33"/>
      <c r="EP73" s="33"/>
      <c r="EQ73" s="33"/>
      <c r="ER73" s="33"/>
      <c r="ES73" s="33"/>
      <c r="ET73" s="33"/>
      <c r="EU73" s="33"/>
      <c r="EW73" s="33"/>
      <c r="EX73" s="33"/>
      <c r="EY73" s="33"/>
      <c r="EZ73" s="33"/>
      <c r="FA73" s="33"/>
      <c r="FB73" s="33"/>
      <c r="FC73" s="33"/>
      <c r="FE73" s="52"/>
      <c r="FF73" s="52"/>
      <c r="FG73" s="52"/>
      <c r="FH73" s="52"/>
      <c r="FI73" s="52"/>
      <c r="FJ73" s="52"/>
      <c r="FK73" s="52"/>
      <c r="FM73" s="52"/>
      <c r="FN73" s="52"/>
      <c r="FO73" s="52"/>
      <c r="FP73" s="52"/>
      <c r="FQ73" s="52"/>
      <c r="FR73" s="52"/>
      <c r="FS73" s="52"/>
      <c r="FV73" s="52"/>
      <c r="FW73" s="52"/>
      <c r="FX73" s="52"/>
      <c r="FY73" s="52"/>
      <c r="FZ73" s="52"/>
      <c r="GA73" s="52"/>
      <c r="GB73" s="52"/>
      <c r="GD73" s="52"/>
      <c r="GE73" s="52"/>
      <c r="GF73" s="52"/>
      <c r="GG73" s="52"/>
      <c r="GH73" s="52"/>
      <c r="GI73" s="52"/>
      <c r="GJ73" s="52"/>
      <c r="GL73" s="52"/>
      <c r="GM73" s="52"/>
      <c r="GN73" s="52"/>
      <c r="GO73" s="52"/>
      <c r="GP73" s="52"/>
      <c r="GQ73" s="52"/>
      <c r="GR73" s="52"/>
    </row>
    <row r="74" spans="1:200" ht="11.45" customHeight="1">
      <c r="A74" s="37"/>
      <c r="B74" s="106">
        <f>+Bloomberg!D25/100</f>
        <v>1.0970000000000001E-2</v>
      </c>
      <c r="D74" s="19"/>
      <c r="E74" s="27" t="s">
        <v>274</v>
      </c>
      <c r="F74" s="27" t="s">
        <v>11</v>
      </c>
      <c r="G74" s="28">
        <f>+'Global Properties'!G70</f>
        <v>3.96</v>
      </c>
      <c r="H74" s="29">
        <f>+'Global Properties'!H70</f>
        <v>31267.165036768631</v>
      </c>
      <c r="I74" s="29"/>
      <c r="J74" s="30">
        <f>1/'Global Properties'!V70</f>
        <v>5.5303030303030298E-2</v>
      </c>
      <c r="K74" s="30">
        <f>1/'Global Properties'!W70</f>
        <v>5.7070707070707077E-2</v>
      </c>
      <c r="L74" s="30">
        <f>1/'Global Properties'!X70</f>
        <v>5.8585858585858595E-2</v>
      </c>
      <c r="M74" s="30">
        <f>1/'Global Properties'!Y70</f>
        <v>6.1111111111111109E-2</v>
      </c>
      <c r="N74" s="30">
        <f>1/'Global Properties'!Z70</f>
        <v>6.338383838383839E-2</v>
      </c>
      <c r="O74" s="30"/>
      <c r="P74" s="30"/>
      <c r="Q74" s="31"/>
      <c r="R74" s="30">
        <f>+'Global Properties'!AF70</f>
        <v>5.126262626262626E-2</v>
      </c>
      <c r="S74" s="30">
        <f>+'Global Properties'!AG70</f>
        <v>5.2777777777777778E-2</v>
      </c>
      <c r="T74" s="30"/>
      <c r="U74" s="30">
        <f>+'Global Properties'!AH70</f>
        <v>5.353535353535354E-2</v>
      </c>
      <c r="V74" s="30">
        <f>+'Global Properties'!AI70</f>
        <v>5.5050505050505051E-2</v>
      </c>
      <c r="W74" s="30">
        <f>+'Global Properties'!AJ70</f>
        <v>5.5808080808080814E-2</v>
      </c>
      <c r="X74" s="30">
        <f>+'Global Properties'!AK70</f>
        <v>5.7575757575757579E-2</v>
      </c>
      <c r="Y74" s="30">
        <f>+'Global Properties'!AL70</f>
        <v>5.808080808080808E-2</v>
      </c>
      <c r="Z74" s="31"/>
      <c r="AA74" s="57" t="s">
        <v>9</v>
      </c>
      <c r="AB74" s="57" t="s">
        <v>9</v>
      </c>
      <c r="AC74" s="57" t="s">
        <v>9</v>
      </c>
      <c r="AD74" s="57" t="s">
        <v>9</v>
      </c>
      <c r="AE74" s="57"/>
      <c r="AF74" s="57"/>
      <c r="AG74" s="57"/>
      <c r="AH74" s="31"/>
      <c r="AI74" s="30">
        <f>1/'Global Properties'!L70</f>
        <v>5.0758016234870355E-2</v>
      </c>
      <c r="AJ74" s="31"/>
      <c r="AK74" s="30">
        <f>1/'Global Properties'!M70</f>
        <v>5.4136196070764184E-2</v>
      </c>
      <c r="AL74" s="30">
        <f>1/'Global Properties'!N70</f>
        <v>5.4098808566255575E-2</v>
      </c>
      <c r="AM74" s="30">
        <f>1/'Global Properties'!O70</f>
        <v>5.5156114271133531E-2</v>
      </c>
      <c r="AN74" s="30">
        <f>1/'Global Properties'!P70</f>
        <v>5.6731382292990046E-2</v>
      </c>
      <c r="AO74" s="30">
        <f>1/'Global Properties'!Q70</f>
        <v>5.815181376828775E-2</v>
      </c>
      <c r="AP74" s="30">
        <f>1/'Global Properties'!R70</f>
        <v>5.8778355507236681E-2</v>
      </c>
      <c r="AQ74" s="31"/>
      <c r="AR74" s="30" t="s">
        <v>9</v>
      </c>
      <c r="AS74" s="30" t="s">
        <v>9</v>
      </c>
      <c r="AT74" s="30" t="s">
        <v>9</v>
      </c>
      <c r="AU74" s="30" t="s">
        <v>9</v>
      </c>
      <c r="AV74" s="30"/>
      <c r="AW74" s="30"/>
      <c r="AX74" s="30"/>
      <c r="AY74" s="31"/>
      <c r="AZ74" s="30">
        <f t="shared" si="296"/>
        <v>4.5761382292990045E-2</v>
      </c>
      <c r="BA74" s="30">
        <f t="shared" si="297"/>
        <v>4.3128808566255575E-2</v>
      </c>
      <c r="BB74" s="19"/>
      <c r="BC74" s="25"/>
      <c r="BD74" s="18"/>
      <c r="BE74" s="25"/>
      <c r="BF74" s="32"/>
      <c r="BG74" s="25"/>
      <c r="BH74" s="32"/>
      <c r="BI74" s="25"/>
      <c r="BJ74" s="32"/>
      <c r="BK74" s="25"/>
      <c r="BL74" s="25"/>
      <c r="BM74" s="32"/>
      <c r="BN74" s="25"/>
      <c r="BO74" s="32"/>
      <c r="BP74" s="25"/>
      <c r="BQ74" s="32"/>
      <c r="BR74" s="25"/>
      <c r="BS74" s="32"/>
      <c r="BT74" s="25"/>
      <c r="BU74" s="34"/>
      <c r="BV74" s="25"/>
      <c r="BW74" s="41"/>
      <c r="BY74" s="48"/>
      <c r="BZ74" s="88"/>
      <c r="CA74" s="88"/>
      <c r="CB74" s="88"/>
      <c r="CC74" s="88"/>
      <c r="CD74" s="88"/>
      <c r="CE74" s="88"/>
      <c r="CF74" s="88"/>
      <c r="CG74" s="88"/>
      <c r="CH74" s="39"/>
      <c r="CI74" s="99"/>
      <c r="CJ74" s="34"/>
      <c r="CK74" s="34"/>
      <c r="CL74" s="34"/>
      <c r="CM74" s="34"/>
      <c r="CN74" s="34"/>
      <c r="CO74" s="34"/>
      <c r="CP74" s="34"/>
      <c r="CQ74" s="39"/>
      <c r="CR74" s="99"/>
      <c r="CS74" s="34"/>
      <c r="CT74" s="34"/>
      <c r="CU74" s="34"/>
      <c r="CV74" s="34"/>
      <c r="CW74" s="34"/>
      <c r="CX74" s="34"/>
      <c r="CY74" s="34"/>
      <c r="CZ74" s="39"/>
      <c r="DA74" s="34"/>
      <c r="DB74" s="34"/>
      <c r="DC74" s="34"/>
      <c r="DD74" s="34"/>
      <c r="DE74" s="34"/>
      <c r="DF74" s="34"/>
      <c r="DG74" s="34"/>
      <c r="DH74" s="39"/>
      <c r="DI74" s="34"/>
      <c r="DJ74" s="34"/>
      <c r="DK74" s="34"/>
      <c r="DL74" s="34"/>
      <c r="DM74" s="34"/>
      <c r="DN74" s="34"/>
      <c r="DO74" s="34"/>
      <c r="DP74" s="39"/>
      <c r="DQ74" s="34"/>
      <c r="DR74" s="34"/>
      <c r="DS74" s="34"/>
      <c r="DT74" s="34"/>
      <c r="DU74" s="34"/>
      <c r="DV74" s="34"/>
      <c r="DW74" s="34"/>
      <c r="DX74"/>
      <c r="DY74" s="34"/>
      <c r="DZ74" s="34"/>
      <c r="EA74" s="34"/>
      <c r="EB74" s="34"/>
      <c r="EC74" s="34"/>
      <c r="ED74" s="34"/>
      <c r="EE74" s="34"/>
      <c r="EG74" s="34"/>
      <c r="EH74" s="34"/>
      <c r="EI74" s="34"/>
      <c r="EJ74" s="34"/>
      <c r="EK74" s="34"/>
      <c r="EL74" s="34"/>
      <c r="EM74" s="34"/>
      <c r="EO74" s="101"/>
      <c r="EP74" s="101"/>
      <c r="EQ74" s="101"/>
      <c r="ER74" s="101"/>
      <c r="ES74" s="101"/>
      <c r="ET74" s="101"/>
      <c r="EU74" s="101"/>
      <c r="EW74" s="34"/>
      <c r="EX74" s="34"/>
      <c r="EY74" s="34"/>
      <c r="EZ74" s="34"/>
      <c r="FA74" s="34"/>
      <c r="FB74" s="34"/>
      <c r="FC74" s="34"/>
      <c r="FE74" s="54"/>
      <c r="FF74" s="54"/>
      <c r="FG74" s="54"/>
      <c r="FH74" s="54"/>
      <c r="FI74" s="54"/>
      <c r="FJ74" s="54"/>
      <c r="FK74" s="54"/>
      <c r="FL74" s="55"/>
      <c r="FM74" s="54"/>
      <c r="FN74" s="54"/>
      <c r="FO74" s="54"/>
      <c r="FP74" s="54"/>
      <c r="FQ74" s="54"/>
      <c r="FR74" s="54"/>
      <c r="FS74" s="54"/>
      <c r="FT74" s="55"/>
      <c r="FU74" s="55"/>
      <c r="FV74" s="54"/>
      <c r="FW74" s="54"/>
      <c r="FX74" s="54"/>
      <c r="FY74" s="54"/>
      <c r="FZ74" s="54"/>
      <c r="GA74" s="54"/>
      <c r="GB74" s="54"/>
      <c r="GC74" s="55"/>
      <c r="GD74" s="54"/>
      <c r="GE74" s="54"/>
      <c r="GF74" s="54"/>
      <c r="GG74" s="54"/>
      <c r="GH74" s="54"/>
      <c r="GI74" s="54"/>
      <c r="GJ74" s="54"/>
      <c r="GK74" s="55"/>
      <c r="GL74" s="54"/>
      <c r="GM74" s="54"/>
      <c r="GN74" s="54"/>
      <c r="GO74" s="54"/>
      <c r="GP74" s="54"/>
      <c r="GQ74" s="54"/>
      <c r="GR74" s="54"/>
    </row>
    <row r="75" spans="1:200" ht="11.45" customHeight="1">
      <c r="A75" s="37"/>
      <c r="B75" s="64">
        <f>+B74</f>
        <v>1.0970000000000001E-2</v>
      </c>
      <c r="D75" s="19"/>
      <c r="E75" s="27" t="s">
        <v>277</v>
      </c>
      <c r="F75" s="27" t="s">
        <v>11</v>
      </c>
      <c r="G75" s="28">
        <f>+'Global Properties'!G72</f>
        <v>2.54</v>
      </c>
      <c r="H75" s="29">
        <f>+'Global Properties'!H72</f>
        <v>14226.984337808139</v>
      </c>
      <c r="I75" s="29"/>
      <c r="J75" s="30">
        <f>1/'Global Properties'!V72</f>
        <v>6.5354330708661423E-2</v>
      </c>
      <c r="K75" s="30">
        <f>1/'Global Properties'!W72</f>
        <v>7.2047244094488191E-2</v>
      </c>
      <c r="L75" s="30">
        <f>1/'Global Properties'!X72</f>
        <v>7.6771653543307089E-2</v>
      </c>
      <c r="M75" s="30">
        <f>1/'Global Properties'!Y72</f>
        <v>7.3622047244094477E-2</v>
      </c>
      <c r="N75" s="30">
        <f>1/'Global Properties'!Z72</f>
        <v>7.1259842519685035E-2</v>
      </c>
      <c r="O75" s="30"/>
      <c r="P75" s="30"/>
      <c r="Q75" s="31"/>
      <c r="R75" s="30">
        <f>+'Global Properties'!AF72</f>
        <v>5.9448818897637798E-2</v>
      </c>
      <c r="S75" s="30">
        <f>+'Global Properties'!AG72</f>
        <v>6.6535433070866151E-2</v>
      </c>
      <c r="T75" s="30"/>
      <c r="U75" s="30">
        <f>+'Global Properties'!AH72</f>
        <v>7.0078740157480321E-2</v>
      </c>
      <c r="V75" s="30">
        <f>+'Global Properties'!AI72</f>
        <v>6.811023622047245E-2</v>
      </c>
      <c r="W75" s="30">
        <f>+'Global Properties'!AJ72</f>
        <v>6.3385826771653553E-2</v>
      </c>
      <c r="X75" s="30">
        <f>+'Global Properties'!AK72</f>
        <v>6.2992125984251968E-2</v>
      </c>
      <c r="Y75" s="30">
        <f>+'Global Properties'!AL72</f>
        <v>6.2204724409448825E-2</v>
      </c>
      <c r="Z75" s="31"/>
      <c r="AA75" s="57" t="s">
        <v>9</v>
      </c>
      <c r="AB75" s="57" t="s">
        <v>9</v>
      </c>
      <c r="AC75" s="57" t="s">
        <v>9</v>
      </c>
      <c r="AD75" s="57" t="s">
        <v>9</v>
      </c>
      <c r="AE75" s="57"/>
      <c r="AF75" s="57"/>
      <c r="AG75" s="57"/>
      <c r="AH75" s="31"/>
      <c r="AI75" s="30">
        <f>1/'Global Properties'!L72</f>
        <v>2.1827322109527696E-2</v>
      </c>
      <c r="AJ75" s="31"/>
      <c r="AK75" s="30">
        <f>1/'Global Properties'!M72</f>
        <v>2.3578545909921513E-2</v>
      </c>
      <c r="AL75" s="30">
        <f>1/'Global Properties'!N72</f>
        <v>6.6015093639513675E-2</v>
      </c>
      <c r="AM75" s="30">
        <f>1/'Global Properties'!O72</f>
        <v>6.4269949235608873E-2</v>
      </c>
      <c r="AN75" s="30">
        <f>1/'Global Properties'!P72</f>
        <v>6.3446798950996558E-2</v>
      </c>
      <c r="AO75" s="30">
        <f>1/'Global Properties'!Q72</f>
        <v>6.3237667711774526E-2</v>
      </c>
      <c r="AP75" s="30">
        <f>1/'Global Properties'!R72</f>
        <v>6.1825960324714151E-2</v>
      </c>
      <c r="AQ75" s="31"/>
      <c r="AR75" s="30" t="s">
        <v>9</v>
      </c>
      <c r="AS75" s="30" t="s">
        <v>9</v>
      </c>
      <c r="AT75" s="30" t="s">
        <v>9</v>
      </c>
      <c r="AU75" s="30" t="s">
        <v>9</v>
      </c>
      <c r="AV75" s="30"/>
      <c r="AW75" s="30"/>
      <c r="AX75" s="30"/>
      <c r="AY75" s="31"/>
      <c r="AZ75" s="30">
        <f t="shared" si="296"/>
        <v>5.2476798950996557E-2</v>
      </c>
      <c r="BA75" s="30">
        <f t="shared" si="297"/>
        <v>5.5045093639513674E-2</v>
      </c>
      <c r="BB75" s="19"/>
      <c r="BC75" s="25"/>
      <c r="BD75" s="18"/>
      <c r="BE75" s="25"/>
      <c r="BF75" s="32"/>
      <c r="BG75" s="25"/>
      <c r="BH75" s="32"/>
      <c r="BI75" s="25"/>
      <c r="BJ75" s="32"/>
      <c r="BK75" s="25"/>
      <c r="BL75" s="25"/>
      <c r="BM75" s="32"/>
      <c r="BN75" s="25"/>
      <c r="BO75" s="32"/>
      <c r="BP75" s="25"/>
      <c r="BQ75" s="32"/>
      <c r="BR75" s="25"/>
      <c r="BS75" s="32"/>
      <c r="BT75" s="25"/>
      <c r="BU75" s="34"/>
      <c r="BV75" s="25"/>
      <c r="BW75" s="41"/>
      <c r="BY75" s="48"/>
      <c r="BZ75" s="88"/>
      <c r="CA75" s="88"/>
      <c r="CB75" s="88"/>
      <c r="CC75" s="88"/>
      <c r="CD75" s="88"/>
      <c r="CE75" s="88"/>
      <c r="CF75" s="88"/>
      <c r="CG75" s="88"/>
      <c r="CH75" s="39"/>
      <c r="CI75" s="99"/>
      <c r="CJ75" s="34"/>
      <c r="CK75" s="34"/>
      <c r="CL75" s="34"/>
      <c r="CM75" s="34"/>
      <c r="CN75" s="34"/>
      <c r="CO75" s="34"/>
      <c r="CP75" s="34"/>
      <c r="CQ75" s="39"/>
      <c r="CR75" s="99"/>
      <c r="CS75" s="34"/>
      <c r="CT75" s="34"/>
      <c r="CU75" s="34"/>
      <c r="CV75" s="34"/>
      <c r="CW75" s="34"/>
      <c r="CX75" s="34"/>
      <c r="CY75" s="34"/>
      <c r="CZ75" s="39"/>
      <c r="DA75" s="34"/>
      <c r="DB75" s="34"/>
      <c r="DC75" s="34"/>
      <c r="DD75" s="34"/>
      <c r="DE75" s="34"/>
      <c r="DF75" s="34"/>
      <c r="DG75" s="34"/>
      <c r="DH75" s="39"/>
      <c r="DI75" s="34"/>
      <c r="DJ75" s="34"/>
      <c r="DK75" s="34"/>
      <c r="DL75" s="34"/>
      <c r="DM75" s="34"/>
      <c r="DN75" s="34"/>
      <c r="DO75" s="34"/>
      <c r="DP75" s="39"/>
      <c r="DQ75" s="34"/>
      <c r="DR75" s="34"/>
      <c r="DS75" s="34"/>
      <c r="DT75" s="34"/>
      <c r="DU75" s="34"/>
      <c r="DV75" s="34"/>
      <c r="DW75" s="34"/>
      <c r="DX75"/>
      <c r="DY75" s="34"/>
      <c r="DZ75" s="34"/>
      <c r="EA75" s="34"/>
      <c r="EB75" s="34"/>
      <c r="EC75" s="34"/>
      <c r="ED75" s="34"/>
      <c r="EE75" s="34"/>
      <c r="EG75" s="34"/>
      <c r="EH75" s="34"/>
      <c r="EI75" s="34"/>
      <c r="EJ75" s="34"/>
      <c r="EK75" s="34"/>
      <c r="EL75" s="34"/>
      <c r="EM75" s="34"/>
      <c r="EO75" s="101"/>
      <c r="EP75" s="101"/>
      <c r="EQ75" s="101"/>
      <c r="ER75" s="101"/>
      <c r="ES75" s="101"/>
      <c r="ET75" s="101"/>
      <c r="EU75" s="101"/>
      <c r="EW75" s="34"/>
      <c r="EX75" s="34"/>
      <c r="EY75" s="34"/>
      <c r="EZ75" s="34"/>
      <c r="FA75" s="34"/>
      <c r="FB75" s="34"/>
      <c r="FC75" s="34"/>
      <c r="FE75" s="54"/>
      <c r="FF75" s="54"/>
      <c r="FG75" s="54"/>
      <c r="FH75" s="54"/>
      <c r="FI75" s="54"/>
      <c r="FJ75" s="54"/>
      <c r="FK75" s="54"/>
      <c r="FL75" s="55"/>
      <c r="FM75" s="54"/>
      <c r="FN75" s="54"/>
      <c r="FO75" s="54"/>
      <c r="FP75" s="54"/>
      <c r="FQ75" s="54"/>
      <c r="FR75" s="54"/>
      <c r="FS75" s="54"/>
      <c r="FT75" s="55"/>
      <c r="FU75" s="55"/>
      <c r="FV75" s="54"/>
      <c r="FW75" s="54"/>
      <c r="FX75" s="54"/>
      <c r="FY75" s="54"/>
      <c r="FZ75" s="54"/>
      <c r="GA75" s="54"/>
      <c r="GB75" s="54"/>
      <c r="GC75" s="55"/>
      <c r="GD75" s="54"/>
      <c r="GE75" s="54"/>
      <c r="GF75" s="54"/>
      <c r="GG75" s="54"/>
      <c r="GH75" s="54"/>
      <c r="GI75" s="54"/>
      <c r="GJ75" s="54"/>
      <c r="GK75" s="55"/>
      <c r="GL75" s="54"/>
      <c r="GM75" s="54"/>
      <c r="GN75" s="54"/>
      <c r="GO75" s="54"/>
      <c r="GP75" s="54"/>
      <c r="GQ75" s="54"/>
      <c r="GR75" s="54"/>
    </row>
    <row r="76" spans="1:200">
      <c r="D76" s="117"/>
      <c r="E76" s="118" t="s">
        <v>8</v>
      </c>
      <c r="F76" s="118"/>
      <c r="G76" s="119"/>
      <c r="H76" s="120"/>
      <c r="I76" s="120"/>
      <c r="J76" s="128">
        <f>+AVERAGE(J70:J75)</f>
        <v>4.9289959519738503E-2</v>
      </c>
      <c r="K76" s="128">
        <f>+AVERAGE(K70:K75)</f>
        <v>4.5239629350768883E-2</v>
      </c>
      <c r="L76" s="128">
        <f>+AVERAGE(L70:L75)</f>
        <v>4.8591184942141312E-2</v>
      </c>
      <c r="M76" s="128">
        <f>+AVERAGE(M70:M75)</f>
        <v>4.9488804744048716E-2</v>
      </c>
      <c r="N76" s="128">
        <f>+AVERAGE(N70:N75)</f>
        <v>6.5457985202120011E-2</v>
      </c>
      <c r="O76" s="309"/>
      <c r="P76" s="309"/>
      <c r="Q76" s="128"/>
      <c r="R76" s="128">
        <f>+AVERAGE(R70:R75)</f>
        <v>4.2288797646295513E-2</v>
      </c>
      <c r="S76" s="128">
        <f>+AVERAGE(S70:S75)</f>
        <v>4.4744029167238915E-2</v>
      </c>
      <c r="T76" s="309"/>
      <c r="U76" s="128">
        <f>+AVERAGE(U70:U75)</f>
        <v>4.7308864482395775E-2</v>
      </c>
      <c r="V76" s="12">
        <f>+AVERAGE(V70:V75)</f>
        <v>4.8456055172529267E-2</v>
      </c>
      <c r="W76" s="12">
        <f>+AVERAGE(W70:W75)</f>
        <v>4.9319928250216749E-2</v>
      </c>
      <c r="X76" s="12">
        <f>+AVERAGE(X70:X75)</f>
        <v>5.1064377701748015E-2</v>
      </c>
      <c r="Y76" s="12">
        <f>+AVERAGE(Y70:Y75)</f>
        <v>5.2787877458676226E-2</v>
      </c>
      <c r="Z76" s="13"/>
      <c r="AA76" s="103"/>
      <c r="AB76" s="103"/>
      <c r="AC76" s="103"/>
      <c r="AD76" s="103"/>
      <c r="AE76" s="311"/>
      <c r="AF76" s="311"/>
      <c r="AG76" s="311"/>
      <c r="AH76" s="13"/>
      <c r="AI76" s="12">
        <f>+AVERAGE(AI70:AI75)</f>
        <v>3.4293007571177626E-2</v>
      </c>
      <c r="AJ76" s="13"/>
      <c r="AK76" s="12">
        <f t="shared" ref="AK76:AP76" si="298">+AVERAGE(AK70:AK75)</f>
        <v>3.6545434259287975E-2</v>
      </c>
      <c r="AL76" s="12">
        <f t="shared" si="298"/>
        <v>4.5444350589308562E-2</v>
      </c>
      <c r="AM76" s="12">
        <f t="shared" si="298"/>
        <v>4.6376460871062487E-2</v>
      </c>
      <c r="AN76" s="377">
        <f t="shared" si="298"/>
        <v>4.8062642465876916E-2</v>
      </c>
      <c r="AO76" s="377">
        <f t="shared" si="298"/>
        <v>4.9887249345214373E-2</v>
      </c>
      <c r="AP76" s="377">
        <f t="shared" si="298"/>
        <v>5.1408266728551893E-2</v>
      </c>
      <c r="AQ76" s="378"/>
      <c r="AR76" s="377"/>
      <c r="AS76" s="377"/>
      <c r="AT76" s="377"/>
      <c r="AU76" s="377"/>
      <c r="AV76" s="380"/>
      <c r="AW76" s="380"/>
      <c r="AX76" s="380"/>
      <c r="AY76" s="378"/>
      <c r="AZ76" s="380">
        <f>+AVERAGE(AZ70:AZ75)</f>
        <v>3.4040975799210248E-2</v>
      </c>
      <c r="BA76" s="263">
        <f>+AVERAGE(BA70:BA75)</f>
        <v>3.1422683922641893E-2</v>
      </c>
      <c r="BB76" s="264"/>
    </row>
    <row r="77" spans="1:200">
      <c r="D77" s="5"/>
      <c r="E77" s="268"/>
    </row>
    <row r="78" spans="1:200">
      <c r="D78" s="267"/>
      <c r="E78" s="305" t="s">
        <v>322</v>
      </c>
      <c r="F78" s="306"/>
      <c r="G78" s="307"/>
      <c r="H78" s="308"/>
      <c r="I78" s="308"/>
      <c r="J78" s="309">
        <f>+AVERAGE(J70:J75,J61:J66,J48:J57,J39:J42,J30:J34,J22:J24,J10:J18)</f>
        <v>6.2123630389109535E-2</v>
      </c>
      <c r="K78" s="309">
        <f>+AVERAGE(K70:K75,K61:K66,K48:K57,K39:K42,K30:K35,K22:K24,K10:K18)</f>
        <v>7.1900171675986072E-2</v>
      </c>
      <c r="L78" s="309">
        <f>+AVERAGE(L70:L75,L61:L66,L48:L57,L39:L42,L30:L35,L22:L24,L10:L18)</f>
        <v>-4.6317600955148704E-2</v>
      </c>
      <c r="M78" s="309">
        <f>+AVERAGE(M70:M75,M61:M66,M48:M57,M39:M42,M30:M35,M22:M24,M10:M18)</f>
        <v>6.89530634298645E-2</v>
      </c>
      <c r="N78" s="309">
        <f>+AVERAGE(N70:N75,N61:N66,N48:N57,N39:N42,N30:N35,N22:N24,N10:N18)</f>
        <v>8.319851639068887E-2</v>
      </c>
      <c r="O78" s="309"/>
      <c r="P78" s="309"/>
      <c r="Q78" s="309"/>
      <c r="R78" s="309">
        <f>+AVERAGE(R70:R75,R61:R66,R48:R57,R39:R42,R30:R34,R22:R24,R10:R18)</f>
        <v>6.3365862312429674E-2</v>
      </c>
      <c r="S78" s="309">
        <f>+AVERAGE(S70:S75,S61:S66,S48:S57,S39:S42,S30:S35,S22:S24,S10:S18)</f>
        <v>6.107207463377138E-2</v>
      </c>
      <c r="T78" s="309"/>
      <c r="U78" s="309">
        <f>+AVERAGE(U70:U75,U61:U66,U48:U57,U39:U42,U30:U35,U22:U24,U10:U18)</f>
        <v>6.0126248061039646E-2</v>
      </c>
      <c r="V78" s="263">
        <f>+AVERAGE(V70:V75,V61:V66,V48:V57,V39:V42,V30:V35,V22:V24,V10:V18)</f>
        <v>6.4625849189053314E-2</v>
      </c>
      <c r="W78" s="263">
        <f>+AVERAGE(W70:W75,W61:W66,W48:W57,W39:W42,W30:W35,W22:W24,W10:W18)</f>
        <v>6.1866138411608727E-2</v>
      </c>
      <c r="X78" s="263">
        <f>+AVERAGE(X70:X75,X61:X66,X48:X57,X39:X42,X30:X35,X22:X24,X10:X18)</f>
        <v>6.1379910525228946E-2</v>
      </c>
      <c r="Y78" s="263">
        <f>+AVERAGE(Y70:Y75,Y61:Y66,Y48:Y57,Y39:Y42,Y30:Y35,Y22:Y24,Y10:Y18)</f>
        <v>6.1633670213843007E-2</v>
      </c>
      <c r="Z78" s="310"/>
      <c r="AA78" s="311"/>
      <c r="AB78" s="311"/>
      <c r="AC78" s="311"/>
      <c r="AD78" s="311"/>
      <c r="AE78" s="311"/>
      <c r="AF78" s="311"/>
      <c r="AG78" s="311"/>
      <c r="AH78" s="310"/>
      <c r="AI78" s="263">
        <f>+AVERAGE(AI70:AI75,AI61:AI66,AI48:AI57,AI39:AI42,AI30:AI34,AI22:AI24,AI10:AI18)</f>
        <v>5.749582509389816E-2</v>
      </c>
      <c r="AJ78" s="310"/>
      <c r="AK78" s="263">
        <f t="shared" ref="AK78:AP78" si="299">+AVERAGE(AK70:AK75,AK61:AK66,AK48:AK57,AK39:AK42,AK30:AK35,AK22:AK24,AK10:AK18)</f>
        <v>5.6566179974455177E-2</v>
      </c>
      <c r="AL78" s="263">
        <f t="shared" si="299"/>
        <v>6.2786609998552734E-2</v>
      </c>
      <c r="AM78" s="263">
        <f t="shared" si="299"/>
        <v>6.5645586435449363E-2</v>
      </c>
      <c r="AN78" s="263">
        <f t="shared" si="299"/>
        <v>6.8209210825517855E-2</v>
      </c>
      <c r="AO78" s="263">
        <f t="shared" si="299"/>
        <v>6.8907563057963375E-2</v>
      </c>
      <c r="AP78" s="263">
        <f t="shared" si="299"/>
        <v>7.2298379737194177E-2</v>
      </c>
      <c r="AQ78" s="310"/>
      <c r="AR78" s="263"/>
      <c r="AS78" s="263"/>
      <c r="AT78" s="263"/>
      <c r="AU78" s="263"/>
      <c r="AV78" s="263"/>
      <c r="AW78" s="263"/>
      <c r="AX78" s="263"/>
      <c r="AY78" s="310"/>
      <c r="AZ78" s="263">
        <f>+AVERAGE(AZ70:AZ75,AZ61:AZ66,AZ48:AZ57,AZ39:AZ42,AZ30:AZ35,AZ22:AZ24,AZ10:AZ18)</f>
        <v>3.7584649977297678E-2</v>
      </c>
      <c r="BA78" s="263">
        <f>+AVERAGE(BA70:BA75,BA61:BA66,BA48:BA57,BA39:BA42,BA30:BA35,BA22:BA24,BA10:BA18)</f>
        <v>3.6246919472996936E-2</v>
      </c>
      <c r="BB78" s="264"/>
    </row>
  </sheetData>
  <mergeCells count="9">
    <mergeCell ref="DA6:DE6"/>
    <mergeCell ref="CS6:CW6"/>
    <mergeCell ref="DI6:DM6"/>
    <mergeCell ref="CJ6:CN6"/>
    <mergeCell ref="K6:P6"/>
    <mergeCell ref="S6:Y6"/>
    <mergeCell ref="AB6:AG6"/>
    <mergeCell ref="AK6:AP6"/>
    <mergeCell ref="AS6:AX6"/>
  </mergeCells>
  <pageMargins left="0.7" right="0.7" top="0.75" bottom="0.75" header="0.3" footer="0.3"/>
  <pageSetup scale="66" orientation="portrait" r:id="rId1"/>
  <ignoredErrors>
    <ignoredError sqref="A14:B16 DM35 DO40 DL40:DM40 DW17 EE17 FV25:FY25 EM1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64"/>
  <sheetViews>
    <sheetView zoomScaleNormal="100" workbookViewId="0">
      <selection activeCell="F15" sqref="F15"/>
    </sheetView>
  </sheetViews>
  <sheetFormatPr defaultColWidth="9.140625" defaultRowHeight="12.75"/>
  <cols>
    <col min="1" max="1" width="20" style="58" customWidth="1"/>
    <col min="2" max="2" width="9.85546875" style="58" bestFit="1" customWidth="1"/>
    <col min="3" max="4" width="9.140625" style="58"/>
    <col min="5" max="5" width="12.85546875" style="58" customWidth="1"/>
    <col min="6" max="7" width="9.28515625" style="58" bestFit="1" customWidth="1"/>
    <col min="8" max="16384" width="9.140625" style="58"/>
  </cols>
  <sheetData>
    <row r="2" spans="1:10">
      <c r="A2" s="60" t="s">
        <v>50</v>
      </c>
    </row>
    <row r="4" spans="1:10">
      <c r="A4" s="59" t="s">
        <v>75</v>
      </c>
      <c r="B4" s="61">
        <f ca="1">+TODAY()-3</f>
        <v>43770</v>
      </c>
    </row>
    <row r="6" spans="1:10">
      <c r="A6" s="60" t="s">
        <v>76</v>
      </c>
    </row>
    <row r="7" spans="1:10">
      <c r="B7" s="72" t="s">
        <v>122</v>
      </c>
      <c r="C7" s="72" t="s">
        <v>122</v>
      </c>
      <c r="D7" s="72"/>
      <c r="J7" s="62"/>
    </row>
    <row r="8" spans="1:10">
      <c r="A8" s="58" t="s">
        <v>51</v>
      </c>
      <c r="B8" s="62" t="e">
        <f ca="1">_xll.BDH($E8,$D$34,$B$4,$B$4,"Dir=V","Dts=S","Sort=A","Quote=C","QtTyp=Y","Days=W","Per=cd","DtFmt=D","Fill=P","UseDPDF=Y","CshAdjNormal=N","CshAdjAbnormal=N","CapChg=N","cols=2;rows=1")</f>
        <v>#NAME?</v>
      </c>
      <c r="C8" s="83">
        <v>19.123999999999999</v>
      </c>
      <c r="D8" s="107">
        <v>19.123999999999999</v>
      </c>
      <c r="E8" s="58" t="s">
        <v>319</v>
      </c>
      <c r="J8" s="62"/>
    </row>
    <row r="9" spans="1:10">
      <c r="A9" s="58" t="s">
        <v>52</v>
      </c>
      <c r="B9" s="62" t="e">
        <f ca="1">_xll.BDH($E9,$D$34,$B$4,$B$4,"Dir=V","Dts=S","Sort=A","Quote=C","QtTyp=Y","Days=W","Per=cd","DtFmt=D","Fill=P","UseDPDF=Y","CshAdjNormal=N","CshAdjAbnormal=N","CapChg=N","cols=2;rows=1")</f>
        <v>#NAME?</v>
      </c>
      <c r="C9" s="83">
        <v>3.9908999999999999</v>
      </c>
      <c r="D9" s="107">
        <v>3.9908999999999999</v>
      </c>
      <c r="E9" s="58" t="s">
        <v>320</v>
      </c>
      <c r="J9" s="62"/>
    </row>
    <row r="10" spans="1:10">
      <c r="A10" s="58" t="s">
        <v>53</v>
      </c>
      <c r="B10" s="62" t="e">
        <f ca="1">_xll.BDH($E10,$D$34,$B$4,$B$4,"Dir=V","Dts=S","Sort=A","Quote=C","QtTyp=Y","Days=W","Per=cd","DtFmt=D","Fill=P","UseDPDF=Y","CshAdjNormal=N","CshAdjAbnormal=N","CapChg=N","cols=2;rows=1")</f>
        <v>#NAME?</v>
      </c>
      <c r="C10" s="83">
        <v>740.75</v>
      </c>
      <c r="D10" s="107">
        <v>740.75</v>
      </c>
      <c r="E10" s="58" t="s">
        <v>321</v>
      </c>
      <c r="J10" s="62"/>
    </row>
    <row r="11" spans="1:10">
      <c r="A11" s="58" t="s">
        <v>324</v>
      </c>
      <c r="B11" s="62" t="e">
        <f ca="1">_xll.BDH($E11,$D$34,$B$4,$B$4,"Dir=V","Dts=S","Sort=A","Quote=C","QtTyp=Y","Days=W","Per=cd","DtFmt=D","Fill=P","UseDPDF=Y","CshAdjNormal=N","CshAdjAbnormal=N","CapChg=N","cols=2;rows=1")</f>
        <v>#NAME?</v>
      </c>
      <c r="C11" s="83">
        <v>59.7288</v>
      </c>
      <c r="D11" s="107">
        <v>59.7288</v>
      </c>
      <c r="E11" s="58" t="s">
        <v>325</v>
      </c>
      <c r="J11" s="62"/>
    </row>
    <row r="12" spans="1:10">
      <c r="J12" s="62"/>
    </row>
    <row r="13" spans="1:10">
      <c r="A13" s="60" t="s">
        <v>54</v>
      </c>
      <c r="J13" s="62"/>
    </row>
    <row r="14" spans="1:10">
      <c r="C14" s="72" t="s">
        <v>122</v>
      </c>
      <c r="D14" s="72"/>
      <c r="J14" s="62"/>
    </row>
    <row r="15" spans="1:10">
      <c r="A15" s="58" t="s">
        <v>72</v>
      </c>
      <c r="B15" s="62" t="e">
        <f ca="1">_xll.BDH($F15,$D$34,$B$4,$B$4,"Dir=V","Dts=S","Sort=A","Quote=C","QtTyp=Y","Days=W","Per=cd","DtFmt=D","Fill=P","UseDPDF=Y","CshAdjNormal=N","CshAdjAbnormal=N","CapChg=N","cols=2;rows=1")</f>
        <v>#NAME?</v>
      </c>
      <c r="C15" s="58">
        <v>1.7103000000000002</v>
      </c>
      <c r="D15" s="107">
        <v>1.7103000000000002</v>
      </c>
      <c r="E15" s="58" t="s">
        <v>56</v>
      </c>
      <c r="F15" s="58" t="s">
        <v>55</v>
      </c>
      <c r="J15" s="62"/>
    </row>
    <row r="16" spans="1:10">
      <c r="A16" s="58" t="s">
        <v>73</v>
      </c>
      <c r="B16" s="62" t="e">
        <f ca="1">_xll.BDH($F16,$E$16,$B$4,$B$4,"Dir=V","Dts=S","Sort=A","Quote=C","QtTyp=Y","Days=W","Per=cd","DtFmt=D","Fill=P","UseDPDF=Y","CshAdjNormal=N","CshAdjAbnormal=N","CapChg=N","cols=2;rows=1")</f>
        <v>#NAME?</v>
      </c>
      <c r="C16" s="58">
        <v>3.1419999999999999</v>
      </c>
      <c r="D16" s="107">
        <v>3.1419999999999999</v>
      </c>
      <c r="E16" s="58" t="s">
        <v>56</v>
      </c>
      <c r="F16" s="58" t="s">
        <v>57</v>
      </c>
      <c r="J16" s="62"/>
    </row>
    <row r="17" spans="1:10">
      <c r="A17" s="58" t="s">
        <v>74</v>
      </c>
      <c r="B17" s="62" t="e">
        <f ca="1">_xll.BDH($F17,$D$34,$B$4,$B$4,"Dir=V","Dts=S","Sort=A","Quote=C","QtTyp=Y","Days=W","Per=cd","DtFmt=D","Fill=P","UseDPDF=Y","CshAdjNormal=N","CshAdjAbnormal=N","CapChg=N","cols=2;rows=1")</f>
        <v>#NAME?</v>
      </c>
      <c r="C17" s="58">
        <v>3.1427999999999998</v>
      </c>
      <c r="D17" s="107">
        <v>3.1427999999999998</v>
      </c>
      <c r="E17" s="58" t="s">
        <v>56</v>
      </c>
      <c r="F17" s="58" t="s">
        <v>58</v>
      </c>
      <c r="J17" s="62"/>
    </row>
    <row r="18" spans="1:10">
      <c r="A18" s="58" t="s">
        <v>59</v>
      </c>
      <c r="B18" s="62" t="e">
        <f ca="1">_xll.BDH($F18,$D$34,$B$4,$B$4,"Dir=V","Dts=S","Sort=A","Quote=C","QtTyp=Y","Days=W","Per=cd","DtFmt=D","Fill=P","UseDPDF=Y","CshAdjNormal=N","CshAdjAbnormal=N","CapChg=N","cols=2;rows=1")</f>
        <v>#NAME?</v>
      </c>
      <c r="C18" s="58">
        <v>3.2800000000000002</v>
      </c>
      <c r="D18" s="107">
        <v>3.2800000000000002</v>
      </c>
      <c r="E18" s="58" t="s">
        <v>56</v>
      </c>
      <c r="F18" s="58" t="s">
        <v>310</v>
      </c>
      <c r="J18" s="62"/>
    </row>
    <row r="19" spans="1:10">
      <c r="A19" s="58" t="s">
        <v>326</v>
      </c>
      <c r="B19" s="62" t="e">
        <f ca="1">_xll.BDH($F19,$E$19,$B$4,$B$4,"Dir=V","Dts=S","Sort=A","Quote=C","QtTyp=Y","Days=W","Per=cd","DtFmt=D","Fill=P","UseDPDF=Y","CshAdjNormal=N","CshAdjAbnormal=N","CapChg=N","cols=2;rows=1")</f>
        <v>#NAME?</v>
      </c>
      <c r="C19" s="58">
        <v>45.853000000000002</v>
      </c>
      <c r="D19" s="107">
        <v>45.853000000000002</v>
      </c>
      <c r="E19" s="58" t="s">
        <v>56</v>
      </c>
      <c r="F19" s="58" t="s">
        <v>328</v>
      </c>
      <c r="J19" s="62"/>
    </row>
    <row r="20" spans="1:10">
      <c r="A20" s="58" t="s">
        <v>61</v>
      </c>
      <c r="B20" s="62" t="e">
        <f ca="1">_xll.BDH($F20,$E$16,$B$4,$B$4,"Dir=V","Dts=S","Sort=A","Quote=C","QtTyp=Y","Days=W","Per=cd","DtFmt=D","Fill=P","UseDPDF=Y","CshAdjNormal=N","CshAdjAbnormal=N","CapChg=N","cols=2;rows=1")</f>
        <v>#NAME?</v>
      </c>
      <c r="C20" s="58">
        <v>-0.25</v>
      </c>
      <c r="D20" s="107">
        <v>-0.25</v>
      </c>
      <c r="E20" s="58" t="s">
        <v>56</v>
      </c>
      <c r="F20" s="58" t="s">
        <v>60</v>
      </c>
      <c r="J20" s="62"/>
    </row>
    <row r="21" spans="1:10">
      <c r="A21" s="58" t="s">
        <v>63</v>
      </c>
      <c r="B21" s="62" t="e">
        <f ca="1">_xll.BDH($F21,$E$16,$B$4,$B$4,"Dir=V","Dts=S","Sort=A","Quote=C","QtTyp=Y","Days=W","Per=cd","DtFmt=D","Fill=P","UseDPDF=Y","CshAdjNormal=N","CshAdjAbnormal=N","CapChg=N","cols=2;rows=1")</f>
        <v>#NAME?</v>
      </c>
      <c r="C21" s="58">
        <v>-7.1999999999999995E-2</v>
      </c>
      <c r="D21" s="107">
        <v>-7.1999999999999995E-2</v>
      </c>
      <c r="E21" s="58" t="s">
        <v>56</v>
      </c>
      <c r="F21" s="58" t="s">
        <v>62</v>
      </c>
      <c r="J21" s="62"/>
    </row>
    <row r="22" spans="1:10">
      <c r="A22" s="58" t="s">
        <v>65</v>
      </c>
      <c r="B22" s="62" t="e">
        <f ca="1">_xll.BDH($F22,$E$16,$B$4,$B$4,"Dir=V","Dts=S","Sort=A","Quote=C","QtTyp=Y","Days=W","Per=cd","DtFmt=D","Fill=P","UseDPDF=Y","CshAdjNormal=N","CshAdjAbnormal=N","CapChg=N","cols=2;rows=1")</f>
        <v>#NAME?</v>
      </c>
      <c r="C22" s="58">
        <v>0.66200000000000003</v>
      </c>
      <c r="D22" s="107">
        <v>0.66200000000000003</v>
      </c>
      <c r="E22" s="58" t="s">
        <v>56</v>
      </c>
      <c r="F22" s="58" t="s">
        <v>64</v>
      </c>
      <c r="J22" s="62"/>
    </row>
    <row r="23" spans="1:10">
      <c r="A23" s="58" t="s">
        <v>67</v>
      </c>
      <c r="B23" s="62" t="e">
        <f ca="1">_xll.BDH($F23,$E$16,$B$4,$B$4,"Dir=V","Dts=S","Sort=A","Quote=C","QtTyp=Y","Days=W","Per=cd","DtFmt=D","Fill=P","UseDPDF=Y","CshAdjNormal=N","CshAdjAbnormal=N","CapChg=N","cols=2;rows=1")</f>
        <v>#NAME?</v>
      </c>
      <c r="C23" s="58" t="s">
        <v>275</v>
      </c>
      <c r="D23" s="107">
        <v>1.5</v>
      </c>
      <c r="E23" s="58" t="s">
        <v>56</v>
      </c>
      <c r="F23" s="58" t="s">
        <v>66</v>
      </c>
      <c r="J23" s="62"/>
    </row>
    <row r="24" spans="1:10">
      <c r="A24" s="58" t="s">
        <v>69</v>
      </c>
      <c r="B24" s="62" t="e">
        <f ca="1">_xll.BDH($F24,$E$16,$B$4,$B$4,"Dir=V","Dts=S","Sort=A","Quote=C","QtTyp=Y","Days=W","Per=cd","DtFmt=D","Fill=P","UseDPDF=Y","CshAdjNormal=N","CshAdjAbnormal=N","CapChg=N","cols=2;rows=1")</f>
        <v>#NAME?</v>
      </c>
      <c r="C24" s="58">
        <v>1.7189999999999999</v>
      </c>
      <c r="D24" s="107">
        <v>1.7189999999999999</v>
      </c>
      <c r="E24" s="58" t="s">
        <v>56</v>
      </c>
      <c r="F24" s="58" t="s">
        <v>68</v>
      </c>
      <c r="J24" s="62"/>
    </row>
    <row r="25" spans="1:10">
      <c r="A25" s="58" t="s">
        <v>71</v>
      </c>
      <c r="B25" s="62" t="e">
        <f ca="1">_xll.BDH($F25,$E$16,$B$4,$B$4,"Dir=V","Dts=S","Sort=A","Quote=C","QtTyp=Y","Days=W","Per=cd","DtFmt=D","Fill=P","UseDPDF=Y","CshAdjNormal=N","CshAdjAbnormal=N","CapChg=N","cols=2;rows=1")</f>
        <v>#NAME?</v>
      </c>
      <c r="C25" s="58">
        <v>1.097</v>
      </c>
      <c r="D25" s="107">
        <v>1.097</v>
      </c>
      <c r="E25" s="58" t="s">
        <v>56</v>
      </c>
      <c r="F25" s="58" t="s">
        <v>70</v>
      </c>
      <c r="J25" s="62"/>
    </row>
    <row r="26" spans="1:10">
      <c r="J26" s="62"/>
    </row>
    <row r="27" spans="1:10">
      <c r="A27" s="60" t="s">
        <v>54</v>
      </c>
      <c r="J27" s="62"/>
    </row>
    <row r="28" spans="1:10">
      <c r="J28" s="62"/>
    </row>
    <row r="34" spans="1:11" ht="13.5">
      <c r="A34" s="6" t="s">
        <v>103</v>
      </c>
      <c r="D34" s="58" t="s">
        <v>109</v>
      </c>
      <c r="E34" s="72" t="s">
        <v>122</v>
      </c>
      <c r="F34" s="72" t="s">
        <v>123</v>
      </c>
    </row>
    <row r="35" spans="1:11" ht="13.5">
      <c r="A35" s="20" t="s">
        <v>31</v>
      </c>
      <c r="B35" s="58" t="s">
        <v>110</v>
      </c>
      <c r="D35" s="62" t="e">
        <f ca="1">_xll.BDH($B35,$D$34,$B$4,$B$4,"Dir=V","Dts=S","Sort=A","Quote=C","QtTyp=Y","Days=W","Per=cd","DtFmt=D","Fill=P","UseDPDF=Y","CshAdjNormal=N","CshAdjAbnormal=N","CapChg=N","cols=2;rows=1")</f>
        <v>#NAME?</v>
      </c>
      <c r="E35" s="58">
        <v>29.38</v>
      </c>
      <c r="F35" s="107">
        <v>29.38</v>
      </c>
    </row>
    <row r="36" spans="1:11" ht="13.5">
      <c r="A36" s="27" t="s">
        <v>33</v>
      </c>
      <c r="B36" s="58" t="s">
        <v>111</v>
      </c>
      <c r="D36" s="62" t="e">
        <f ca="1">_xll.BDH($B36,$D$34,$B$4,$B$4,"Dir=V","Dts=S","Sort=A","Quote=C","QtTyp=Y","Days=W","Per=cd","DtFmt=D","Fill=P","UseDPDF=Y","CshAdjNormal=N","CshAdjAbnormal=N","CapChg=N","cols=2;rows=1")</f>
        <v>#NAME?</v>
      </c>
      <c r="E36" s="58">
        <v>28.15</v>
      </c>
      <c r="F36" s="107">
        <v>28.15</v>
      </c>
    </row>
    <row r="37" spans="1:11" ht="13.5">
      <c r="A37" s="20" t="s">
        <v>27</v>
      </c>
      <c r="B37" s="58" t="s">
        <v>112</v>
      </c>
      <c r="D37" s="62" t="e">
        <f ca="1">_xll.BDH($B37,$D$34,$B$4,$B$4,"Dir=V","Dts=S","Sort=A","Quote=C","QtTyp=Y","Days=W","Per=cd","DtFmt=D","Fill=P","UseDPDF=Y","CshAdjNormal=N","CshAdjAbnormal=N","CapChg=N","cols=2;rows=1")</f>
        <v>#NAME?</v>
      </c>
      <c r="E37" s="58">
        <v>9.19</v>
      </c>
      <c r="F37" s="107">
        <v>9.19</v>
      </c>
    </row>
    <row r="38" spans="1:11" ht="13.5">
      <c r="A38" s="27" t="s">
        <v>34</v>
      </c>
      <c r="B38" s="58" t="s">
        <v>113</v>
      </c>
      <c r="D38" s="62" t="e">
        <f ca="1">_xll.BDH($B38,$D$34,$B$4,$B$4,"Dir=V","Dts=S","Sort=A","Quote=C","QtTyp=Y","Days=W","Per=cd","DtFmt=D","Fill=P","UseDPDF=Y","CshAdjNormal=N","CshAdjAbnormal=N","CapChg=N","cols=2;rows=1")</f>
        <v>#NAME?</v>
      </c>
      <c r="E38" s="58">
        <v>32.72</v>
      </c>
      <c r="F38" s="107">
        <v>32.72</v>
      </c>
    </row>
    <row r="39" spans="1:11" ht="13.5">
      <c r="A39" s="20" t="s">
        <v>24</v>
      </c>
      <c r="B39" s="58" t="s">
        <v>114</v>
      </c>
      <c r="D39" s="62" t="e">
        <f ca="1">_xll.BDH($B39,$D$34,$B$4,$B$4,"Dir=V","Dts=S","Sort=A","Quote=C","QtTyp=Y","Days=W","Per=cd","DtFmt=D","Fill=P","UseDPDF=Y","CshAdjNormal=N","CshAdjAbnormal=N","CapChg=N","cols=2;rows=1")</f>
        <v>#NAME?</v>
      </c>
      <c r="E39" s="58">
        <v>29.03</v>
      </c>
      <c r="F39" s="107">
        <v>29.03</v>
      </c>
    </row>
    <row r="40" spans="1:11" ht="13.5">
      <c r="A40" s="27" t="s">
        <v>25</v>
      </c>
      <c r="B40" s="58" t="s">
        <v>115</v>
      </c>
      <c r="D40" s="62" t="e">
        <f ca="1">_xll.BDH($B40,$D$34,$B$4,$B$4,"Dir=V","Dts=S","Sort=A","Quote=C","QtTyp=Y","Days=W","Per=cd","DtFmt=D","Fill=P","UseDPDF=Y","CshAdjNormal=N","CshAdjAbnormal=N","CapChg=N","cols=2;rows=1")</f>
        <v>#NAME?</v>
      </c>
      <c r="E40" s="58">
        <v>41.84</v>
      </c>
      <c r="F40" s="107">
        <v>41.84</v>
      </c>
    </row>
    <row r="41" spans="1:11" ht="13.5">
      <c r="A41" s="20" t="s">
        <v>6</v>
      </c>
      <c r="B41" s="58" t="s">
        <v>116</v>
      </c>
      <c r="D41" s="62" t="e">
        <f ca="1">_xll.BDH($B41,$D$34,$B$4,$B$4,"Dir=V","Dts=S","Sort=A","Quote=C","QtTyp=Y","Days=W","Per=cd","DtFmt=D","Fill=P","UseDPDF=Y","CshAdjNormal=N","CshAdjAbnormal=N","CapChg=N","cols=2;rows=1")</f>
        <v>#NAME?</v>
      </c>
      <c r="E41" s="58">
        <v>9.24</v>
      </c>
      <c r="F41" s="107">
        <v>9.24</v>
      </c>
    </row>
    <row r="42" spans="1:11" ht="13.5">
      <c r="A42" s="27" t="s">
        <v>7</v>
      </c>
      <c r="B42" s="58" t="s">
        <v>117</v>
      </c>
      <c r="D42" s="62" t="e">
        <f ca="1">_xll.BDH($B42,$D$34,$B$4,$B$4,"Dir=V","Dts=S","Sort=A","Quote=C","QtTyp=Y","Days=W","Per=cd","DtFmt=D","Fill=P","UseDPDF=Y","CshAdjNormal=N","CshAdjAbnormal=N","CapChg=N","cols=2;rows=1")</f>
        <v>#NAME?</v>
      </c>
      <c r="E42" s="58">
        <v>7.2</v>
      </c>
      <c r="F42" s="107">
        <v>7.2</v>
      </c>
    </row>
    <row r="43" spans="1:11" ht="13.5">
      <c r="A43" s="20" t="s">
        <v>30</v>
      </c>
      <c r="B43" s="58" t="s">
        <v>118</v>
      </c>
      <c r="D43" s="62" t="e">
        <f ca="1">_xll.BDH($B43,$D$34,$B$4,$B$4,"Dir=V","Dts=S","Sort=A","Quote=C","QtTyp=Y","Days=W","Per=cd","DtFmt=D","Fill=P","UseDPDF=Y","CshAdjNormal=N","CshAdjAbnormal=N","CapChg=N","cols=2;rows=1")</f>
        <v>#NAME?</v>
      </c>
      <c r="E43" s="58">
        <v>12.15</v>
      </c>
      <c r="F43" s="107">
        <v>12.15</v>
      </c>
      <c r="I43" s="337"/>
    </row>
    <row r="44" spans="1:11" ht="13.5">
      <c r="A44" s="20" t="s">
        <v>345</v>
      </c>
      <c r="B44" s="58" t="s">
        <v>346</v>
      </c>
      <c r="D44" s="62" t="e">
        <f ca="1">_xll.BDH($B44,$D$34,$B$4,$B$4,"Dir=V","Dts=S","Sort=A","Quote=C","QtTyp=Y","Days=W","Per=cd","DtFmt=D","Fill=P","UseDPDF=Y","CshAdjNormal=N","CshAdjAbnormal=N","CapChg=N","cols=2;rows=1")</f>
        <v>#NAME?</v>
      </c>
      <c r="E44" s="58">
        <v>5.71</v>
      </c>
      <c r="F44" s="107">
        <v>5.71</v>
      </c>
      <c r="I44" s="337"/>
    </row>
    <row r="45" spans="1:11" ht="13.5">
      <c r="A45" s="15"/>
      <c r="F45" s="107"/>
      <c r="I45" s="337"/>
    </row>
    <row r="46" spans="1:11" ht="13.5">
      <c r="A46" s="6" t="s">
        <v>102</v>
      </c>
      <c r="F46" s="107"/>
    </row>
    <row r="47" spans="1:11" ht="13.5">
      <c r="A47" s="20" t="s">
        <v>10</v>
      </c>
      <c r="B47" s="58" t="s">
        <v>119</v>
      </c>
      <c r="D47" s="62" t="e">
        <f ca="1">_xll.BDH($B47,$D$34,$B$4,$B$4,"Dir=V","Dts=S","Sort=A","Quote=C","QtTyp=Y","Days=W","Per=cd","DtFmt=D","Fill=P","UseDPDF=Y","CshAdjNormal=N","CshAdjAbnormal=N","CapChg=N","cols=2;rows=1")</f>
        <v>#NAME?</v>
      </c>
      <c r="E47" s="58">
        <v>32.380000000000003</v>
      </c>
      <c r="F47" s="107">
        <v>32.380000000000003</v>
      </c>
      <c r="K47" s="337"/>
    </row>
    <row r="48" spans="1:11" ht="13.5">
      <c r="A48" s="27" t="s">
        <v>28</v>
      </c>
      <c r="B48" s="58" t="s">
        <v>120</v>
      </c>
      <c r="D48" s="62" t="e">
        <f ca="1">_xll.BDH($B48,$D$34,$B$4,$B$4,"Dir=V","Dts=S","Sort=A","Quote=C","QtTyp=Y","Days=W","Per=cd","DtFmt=D","Fill=P","UseDPDF=Y","CshAdjNormal=N","CshAdjAbnormal=N","CapChg=N","cols=2;rows=1")</f>
        <v>#NAME?</v>
      </c>
      <c r="E48" s="58">
        <v>17</v>
      </c>
      <c r="F48" s="107">
        <v>17</v>
      </c>
    </row>
    <row r="49" spans="1:8" ht="13.5">
      <c r="A49" s="20" t="s">
        <v>100</v>
      </c>
      <c r="B49" s="58" t="s">
        <v>121</v>
      </c>
      <c r="D49" s="62" t="e">
        <f ca="1">_xll.BDH($B49,$D$34,$B$4,$B$4,"Dir=V","Dts=S","Sort=A","Quote=C","QtTyp=Y","Days=W","Per=cd","DtFmt=D","Fill=P","UseDPDF=Y","CshAdjNormal=N","CshAdjAbnormal=N","CapChg=N","cols=2;rows=1")</f>
        <v>#NAME?</v>
      </c>
      <c r="E49" s="58">
        <v>5.07</v>
      </c>
      <c r="F49" s="107">
        <v>5.07</v>
      </c>
    </row>
    <row r="50" spans="1:8" ht="13.5">
      <c r="A50" s="27" t="s">
        <v>333</v>
      </c>
      <c r="B50" s="58" t="s">
        <v>334</v>
      </c>
      <c r="D50" s="62" t="e">
        <f ca="1">_xll.BDH($B50,$D$34,$B$4,$B$4,"Dir=V","Dts=S","Sort=A","Quote=C","QtTyp=Y","Days=W","Per=cd","DtFmt=D","Fill=P","UseDPDF=Y","CshAdjNormal=N","CshAdjAbnormal=N","CapChg=N","cols=2;rows=1")</f>
        <v>#NAME?</v>
      </c>
      <c r="E50" s="376">
        <v>19</v>
      </c>
      <c r="F50" s="107">
        <v>19</v>
      </c>
    </row>
    <row r="52" spans="1:8" ht="13.5">
      <c r="A52" s="109" t="s">
        <v>127</v>
      </c>
    </row>
    <row r="53" spans="1:8" ht="13.5">
      <c r="A53" s="27" t="s">
        <v>128</v>
      </c>
      <c r="B53" s="58" t="s">
        <v>278</v>
      </c>
      <c r="D53" s="62" t="e">
        <f ca="1">_xll.BDH($B53,$D$34,$B$4,$B$4,"Dir=V","Dts=S","Sort=A","Quote=C","QtTyp=Y","Days=W","Per=cd","DtFmt=D","Fill=P","UseDPDF=Y","CshAdjNormal=N","CshAdjAbnormal=N","CapChg=N","cols=2;rows=1")</f>
        <v>#NAME?</v>
      </c>
      <c r="E53" s="58">
        <v>15.47</v>
      </c>
      <c r="F53" s="107">
        <v>15.47</v>
      </c>
    </row>
    <row r="54" spans="1:8" ht="13.5">
      <c r="A54" s="20" t="s">
        <v>130</v>
      </c>
      <c r="B54" s="58" t="s">
        <v>279</v>
      </c>
      <c r="D54" s="62" t="e">
        <f ca="1">_xll.BDH($B54,$D$34,$B$4,$B$4,"Dir=V","Dts=S","Sort=A","Quote=C","QtTyp=Y","Days=W","Per=cd","DtFmt=D","Fill=P","UseDPDF=Y","CshAdjNormal=N","CshAdjAbnormal=N","CapChg=N","cols=2;rows=1")</f>
        <v>#NAME?</v>
      </c>
      <c r="E54" s="58">
        <v>29.04</v>
      </c>
      <c r="F54" s="107">
        <v>29.04</v>
      </c>
    </row>
    <row r="55" spans="1:8" ht="13.5">
      <c r="A55" s="27" t="s">
        <v>131</v>
      </c>
      <c r="B55" s="58" t="s">
        <v>231</v>
      </c>
      <c r="D55" s="62" t="e">
        <f ca="1">_xll.BDH($B55,$D$34,$B$4,$B$4,"Dir=V","Dts=S","Sort=A","Quote=C","QtTyp=Y","Days=W","Per=cd","DtFmt=D","Fill=P","UseDPDF=Y","CshAdjNormal=N","CshAdjAbnormal=N","CapChg=N","cols=2;rows=1")</f>
        <v>#NAME?</v>
      </c>
      <c r="E55" s="58">
        <v>49</v>
      </c>
      <c r="F55" s="107">
        <v>49</v>
      </c>
      <c r="H55" s="58" t="s">
        <v>344</v>
      </c>
    </row>
    <row r="56" spans="1:8" ht="13.5">
      <c r="A56" s="20" t="s">
        <v>132</v>
      </c>
      <c r="B56" s="58" t="s">
        <v>232</v>
      </c>
      <c r="D56" s="62" t="e">
        <f ca="1">_xll.BDH($B56,$D$34,$B$4,$B$4,"Dir=V","Dts=S","Sort=A","Quote=C","QtTyp=Y","Days=W","Per=cd","DtFmt=D","Fill=P","UseDPDF=Y","CshAdjNormal=N","CshAdjAbnormal=N","CapChg=N","cols=2;rows=1")</f>
        <v>#NAME?</v>
      </c>
      <c r="E56" s="58" t="s">
        <v>275</v>
      </c>
      <c r="F56" s="107">
        <v>27.75</v>
      </c>
    </row>
    <row r="57" spans="1:8" ht="13.5">
      <c r="A57" s="27" t="s">
        <v>133</v>
      </c>
      <c r="B57" s="58" t="s">
        <v>233</v>
      </c>
      <c r="D57" s="62" t="e">
        <f ca="1">_xll.BDH($B57,$D$34,$B$4,$B$4,"Dir=V","Dts=S","Sort=A","Quote=C","QtTyp=Y","Days=W","Per=cd","DtFmt=D","Fill=P","UseDPDF=Y","CshAdjNormal=N","CshAdjAbnormal=N","CapChg=N","cols=2;rows=1")</f>
        <v>#NAME?</v>
      </c>
      <c r="E57" s="58">
        <v>1950</v>
      </c>
      <c r="F57" s="107">
        <v>1950</v>
      </c>
    </row>
    <row r="58" spans="1:8" ht="13.5">
      <c r="A58" s="20" t="s">
        <v>323</v>
      </c>
      <c r="B58" s="58" t="s">
        <v>327</v>
      </c>
      <c r="D58" s="62" t="e">
        <f ca="1">_xll.BDH($B58,$D$34,$B$4,$B$4,"Dir=V","Dts=S","Sort=A","Quote=C","QtTyp=Y","Days=W","Per=cd","DtFmt=D","Fill=P","UseDPDF=Y","CshAdjNormal=N","CshAdjAbnormal=N","CapChg=N","cols=2;rows=1")</f>
        <v>#NAME?</v>
      </c>
      <c r="E58" s="58">
        <v>11.06</v>
      </c>
      <c r="F58" s="107">
        <v>11.06</v>
      </c>
    </row>
    <row r="59" spans="1:8" ht="13.5">
      <c r="A59" s="112"/>
      <c r="F59" s="107"/>
    </row>
    <row r="60" spans="1:8" ht="13.5">
      <c r="A60" s="115" t="s">
        <v>134</v>
      </c>
      <c r="F60" s="107"/>
    </row>
    <row r="61" spans="1:8" ht="13.5">
      <c r="A61" s="20" t="s">
        <v>135</v>
      </c>
      <c r="B61" s="58" t="s">
        <v>234</v>
      </c>
      <c r="D61" s="62" t="e">
        <f ca="1">_xll.BDH($B61,$D$34,$B$4,$B$4,"Dir=V","Dts=S","Sort=A","Quote=C","QtTyp=Y","Days=W","Per=cd","DtFmt=D","Fill=P","UseDPDF=Y","CshAdjNormal=N","CshAdjAbnormal=N","CapChg=N","cols=2;rows=1")</f>
        <v>#NAME?</v>
      </c>
      <c r="E61" s="58">
        <v>12.1</v>
      </c>
      <c r="F61" s="107">
        <v>12.1</v>
      </c>
    </row>
    <row r="62" spans="1:8" ht="13.5">
      <c r="A62" s="27" t="s">
        <v>137</v>
      </c>
      <c r="B62" s="58" t="s">
        <v>235</v>
      </c>
      <c r="D62" s="62" t="e">
        <f ca="1">_xll.BDH($B62,$D$34,$B$4,$B$4,"Dir=V","Dts=S","Sort=A","Quote=C","QtTyp=Y","Days=W","Per=cd","DtFmt=D","Fill=P","UseDPDF=Y","CshAdjNormal=N","CshAdjAbnormal=N","CapChg=N","cols=2;rows=1")</f>
        <v>#NAME?</v>
      </c>
      <c r="E62" s="58">
        <v>42.1</v>
      </c>
      <c r="F62" s="107">
        <v>42.1</v>
      </c>
    </row>
    <row r="63" spans="1:8" ht="13.5">
      <c r="A63" s="20" t="s">
        <v>138</v>
      </c>
      <c r="B63" s="58" t="s">
        <v>236</v>
      </c>
      <c r="D63" s="62" t="e">
        <f ca="1">_xll.BDH($B63,$D$34,$B$4,$B$4,"Dir=V","Dts=S","Sort=A","Quote=C","QtTyp=Y","Days=W","Per=cd","DtFmt=D","Fill=P","UseDPDF=Y","CshAdjNormal=N","CshAdjAbnormal=N","CapChg=N","cols=2;rows=1")</f>
        <v>#NAME?</v>
      </c>
      <c r="E63" s="58">
        <v>19.8</v>
      </c>
      <c r="F63" s="107">
        <v>19.8</v>
      </c>
    </row>
    <row r="64" spans="1:8" ht="13.5">
      <c r="A64" s="27" t="s">
        <v>139</v>
      </c>
      <c r="B64" s="58" t="s">
        <v>237</v>
      </c>
      <c r="D64" s="62" t="e">
        <f ca="1">_xll.BDH($B64,$D$34,$B$4,$B$4,"Dir=V","Dts=S","Sort=A","Quote=C","QtTyp=Y","Days=W","Per=cd","DtFmt=D","Fill=P","UseDPDF=Y","CshAdjNormal=N","CshAdjAbnormal=N","CapChg=N","cols=2;rows=1")</f>
        <v>#NAME?</v>
      </c>
      <c r="E64" s="58">
        <v>92.48</v>
      </c>
      <c r="F64" s="107">
        <v>92.48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72"/>
  <sheetViews>
    <sheetView showGridLines="0" topLeftCell="E40" zoomScale="85" zoomScaleNormal="100" zoomScaleSheetLayoutView="85" workbookViewId="0">
      <selection activeCell="I37" sqref="I37"/>
    </sheetView>
  </sheetViews>
  <sheetFormatPr defaultColWidth="9.140625" defaultRowHeight="14.25" outlineLevelRow="1" outlineLevelCol="1"/>
  <cols>
    <col min="1" max="1" width="19" style="130" hidden="1" customWidth="1" outlineLevel="1"/>
    <col min="2" max="4" width="12.28515625" style="130" hidden="1" customWidth="1" outlineLevel="1"/>
    <col min="5" max="5" width="33.140625" style="132" customWidth="1" collapsed="1"/>
    <col min="6" max="6" width="11.5703125" style="132" bestFit="1" customWidth="1"/>
    <col min="7" max="7" width="10.5703125" style="132" customWidth="1"/>
    <col min="8" max="8" width="12.28515625" style="132" bestFit="1" customWidth="1"/>
    <col min="9" max="18" width="9.7109375" style="133" customWidth="1"/>
    <col min="19" max="38" width="9.85546875" style="132" customWidth="1"/>
    <col min="39" max="39" width="9.28515625" style="134" customWidth="1"/>
    <col min="40" max="40" width="33.42578125" style="134" bestFit="1" customWidth="1"/>
    <col min="41" max="41" width="9.140625" style="134"/>
    <col min="42" max="44" width="9.140625" style="136" customWidth="1"/>
    <col min="45" max="45" width="9.7109375" style="136" bestFit="1" customWidth="1"/>
    <col min="46" max="46" width="9.28515625" style="134" customWidth="1"/>
    <col min="47" max="47" width="9.7109375" style="134" bestFit="1" customWidth="1"/>
    <col min="48" max="48" width="9.140625" style="134"/>
    <col min="49" max="49" width="9.7109375" style="134" bestFit="1" customWidth="1"/>
    <col min="50" max="50" width="9.28515625" style="134" customWidth="1"/>
    <col min="51" max="52" width="9.7109375" style="134" bestFit="1" customWidth="1"/>
    <col min="53" max="54" width="12.7109375" style="134" bestFit="1" customWidth="1"/>
    <col min="55" max="55" width="9.7109375" style="134" bestFit="1" customWidth="1"/>
    <col min="56" max="56" width="9.140625" style="134"/>
    <col min="57" max="59" width="9.140625" style="139" customWidth="1"/>
    <col min="60" max="60" width="9.7109375" style="139" customWidth="1"/>
    <col min="61" max="65" width="9.7109375" style="139" bestFit="1" customWidth="1"/>
    <col min="66" max="72" width="9.7109375" style="139" customWidth="1"/>
    <col min="73" max="73" width="9.42578125" style="139" customWidth="1"/>
    <col min="74" max="74" width="9.7109375" style="139" bestFit="1" customWidth="1"/>
    <col min="75" max="78" width="9.5703125" style="139" bestFit="1" customWidth="1"/>
    <col min="79" max="98" width="9.5703125" style="139" customWidth="1"/>
    <col min="99" max="16384" width="9.140625" style="130"/>
  </cols>
  <sheetData>
    <row r="1" spans="1:98" ht="15.75">
      <c r="E1" s="131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N1" s="135" t="s">
        <v>143</v>
      </c>
      <c r="AY1" s="137"/>
      <c r="AZ1" s="137"/>
      <c r="BA1" s="138"/>
      <c r="BB1" s="138"/>
    </row>
    <row r="2" spans="1:98" s="140" customFormat="1">
      <c r="E2" s="141" t="s">
        <v>144</v>
      </c>
      <c r="F2" s="133" t="s">
        <v>145</v>
      </c>
      <c r="G2" s="133" t="s">
        <v>146</v>
      </c>
      <c r="H2" s="133" t="s">
        <v>147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42"/>
      <c r="AN2" s="143"/>
      <c r="AO2" s="142"/>
      <c r="AP2" s="142"/>
      <c r="AQ2" s="142"/>
      <c r="AR2" s="142" t="s">
        <v>148</v>
      </c>
      <c r="AS2" s="142" t="s">
        <v>149</v>
      </c>
      <c r="AT2" s="142" t="s">
        <v>150</v>
      </c>
      <c r="AU2" s="142"/>
      <c r="AV2" s="142"/>
      <c r="AW2" s="142" t="s">
        <v>151</v>
      </c>
      <c r="AX2" s="142" t="s">
        <v>152</v>
      </c>
      <c r="AY2" s="142" t="s">
        <v>153</v>
      </c>
      <c r="AZ2" s="142" t="s">
        <v>154</v>
      </c>
      <c r="BA2" s="138"/>
      <c r="BB2" s="138" t="s">
        <v>155</v>
      </c>
      <c r="BC2" s="138" t="s">
        <v>156</v>
      </c>
      <c r="BD2" s="142"/>
      <c r="BE2" s="142"/>
      <c r="BF2" s="142"/>
      <c r="BG2" s="142"/>
      <c r="BH2" s="142"/>
      <c r="BI2" s="142" t="s">
        <v>157</v>
      </c>
      <c r="BJ2" s="142" t="s">
        <v>158</v>
      </c>
      <c r="BK2" s="142" t="s">
        <v>159</v>
      </c>
      <c r="BL2" s="142" t="s">
        <v>160</v>
      </c>
      <c r="BM2" s="142" t="s">
        <v>161</v>
      </c>
      <c r="BN2" s="142" t="s">
        <v>162</v>
      </c>
      <c r="BO2" s="142" t="s">
        <v>163</v>
      </c>
      <c r="BP2" s="142" t="s">
        <v>256</v>
      </c>
      <c r="BQ2" s="142" t="s">
        <v>257</v>
      </c>
      <c r="BR2" s="142" t="s">
        <v>315</v>
      </c>
      <c r="BS2" s="142" t="s">
        <v>331</v>
      </c>
      <c r="BT2" s="142" t="s">
        <v>342</v>
      </c>
      <c r="BU2" s="142"/>
      <c r="BV2" s="142" t="s">
        <v>164</v>
      </c>
      <c r="BW2" s="142" t="s">
        <v>165</v>
      </c>
      <c r="BX2" s="142" t="s">
        <v>166</v>
      </c>
      <c r="BY2" s="142" t="s">
        <v>167</v>
      </c>
      <c r="BZ2" s="142" t="s">
        <v>168</v>
      </c>
      <c r="CA2" s="142" t="s">
        <v>169</v>
      </c>
      <c r="CB2" s="142" t="s">
        <v>170</v>
      </c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</row>
    <row r="3" spans="1:98">
      <c r="E3" s="144">
        <f ca="1">+Bloomberg!B4</f>
        <v>43770</v>
      </c>
      <c r="AN3" s="145">
        <f ca="1">+E3</f>
        <v>43770</v>
      </c>
    </row>
    <row r="4" spans="1:98" ht="15" thickBot="1">
      <c r="G4" s="147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42"/>
      <c r="AN4" s="137"/>
      <c r="AR4" s="136" t="s">
        <v>171</v>
      </c>
      <c r="AS4" s="138" t="s">
        <v>172</v>
      </c>
      <c r="AT4" s="138"/>
      <c r="AU4" s="138" t="s">
        <v>172</v>
      </c>
      <c r="AV4" s="134" t="s">
        <v>173</v>
      </c>
      <c r="AW4" s="138" t="s">
        <v>172</v>
      </c>
      <c r="AX4" s="138"/>
      <c r="AY4" s="138" t="s">
        <v>172</v>
      </c>
      <c r="AZ4" s="138" t="s">
        <v>174</v>
      </c>
      <c r="BA4" s="137" t="s">
        <v>175</v>
      </c>
      <c r="BB4" s="137" t="s">
        <v>176</v>
      </c>
      <c r="BC4" s="137" t="s">
        <v>177</v>
      </c>
      <c r="BD4" s="138"/>
      <c r="BE4" s="138"/>
      <c r="BF4" s="138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50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</row>
    <row r="5" spans="1:98" s="151" customFormat="1" ht="13.5" customHeight="1">
      <c r="E5" s="152"/>
      <c r="F5" s="153" t="s">
        <v>178</v>
      </c>
      <c r="G5" s="154" t="s">
        <v>13</v>
      </c>
      <c r="H5" s="154" t="s">
        <v>179</v>
      </c>
      <c r="I5" s="155" t="s">
        <v>180</v>
      </c>
      <c r="J5" s="155"/>
      <c r="K5" s="155"/>
      <c r="L5" s="155"/>
      <c r="M5" s="155"/>
      <c r="N5" s="155"/>
      <c r="O5" s="155"/>
      <c r="P5" s="155"/>
      <c r="Q5" s="155"/>
      <c r="R5" s="155"/>
      <c r="S5" s="155" t="s">
        <v>181</v>
      </c>
      <c r="T5" s="155"/>
      <c r="U5" s="155"/>
      <c r="V5" s="155"/>
      <c r="W5" s="155"/>
      <c r="X5" s="155"/>
      <c r="Y5" s="155"/>
      <c r="Z5" s="155"/>
      <c r="AA5" s="155"/>
      <c r="AB5" s="155"/>
      <c r="AC5" s="155" t="s">
        <v>2</v>
      </c>
      <c r="AD5" s="155"/>
      <c r="AE5" s="155"/>
      <c r="AF5" s="155"/>
      <c r="AG5" s="155"/>
      <c r="AH5" s="155"/>
      <c r="AI5" s="156"/>
      <c r="AJ5" s="156"/>
      <c r="AK5" s="156"/>
      <c r="AL5" s="156"/>
      <c r="AM5" s="157"/>
      <c r="AN5" s="158"/>
      <c r="AZ5" s="138" t="s">
        <v>182</v>
      </c>
      <c r="BC5" s="137"/>
      <c r="BG5" s="139"/>
      <c r="BH5" s="149"/>
      <c r="BI5" s="149" t="s">
        <v>183</v>
      </c>
      <c r="BJ5" s="149" t="s">
        <v>225</v>
      </c>
      <c r="BK5" s="149" t="s">
        <v>184</v>
      </c>
      <c r="BL5" s="149" t="s">
        <v>226</v>
      </c>
      <c r="BM5" s="149" t="s">
        <v>227</v>
      </c>
      <c r="BN5" s="149" t="s">
        <v>228</v>
      </c>
      <c r="BO5" s="149" t="s">
        <v>229</v>
      </c>
      <c r="BP5" s="149" t="s">
        <v>230</v>
      </c>
      <c r="BQ5" s="149" t="s">
        <v>255</v>
      </c>
      <c r="BR5" s="149" t="s">
        <v>316</v>
      </c>
      <c r="BS5" s="149" t="s">
        <v>330</v>
      </c>
      <c r="BT5" s="149" t="s">
        <v>343</v>
      </c>
      <c r="BU5" s="150"/>
      <c r="BV5" s="149" t="s">
        <v>183</v>
      </c>
      <c r="BW5" s="149" t="str">
        <f t="shared" ref="BW5:CG5" si="0">(LEFT(BV5,4)+1)&amp;"Y"</f>
        <v>2010Y</v>
      </c>
      <c r="BX5" s="149" t="str">
        <f t="shared" si="0"/>
        <v>2011Y</v>
      </c>
      <c r="BY5" s="149" t="str">
        <f t="shared" si="0"/>
        <v>2012Y</v>
      </c>
      <c r="BZ5" s="149" t="str">
        <f t="shared" si="0"/>
        <v>2013Y</v>
      </c>
      <c r="CA5" s="149" t="str">
        <f t="shared" si="0"/>
        <v>2014Y</v>
      </c>
      <c r="CB5" s="149" t="str">
        <f t="shared" si="0"/>
        <v>2015Y</v>
      </c>
      <c r="CC5" s="149" t="str">
        <f t="shared" si="0"/>
        <v>2016Y</v>
      </c>
      <c r="CD5" s="149" t="str">
        <f t="shared" si="0"/>
        <v>2017Y</v>
      </c>
      <c r="CE5" s="149" t="str">
        <f t="shared" si="0"/>
        <v>2018Y</v>
      </c>
      <c r="CF5" s="149" t="str">
        <f t="shared" si="0"/>
        <v>2019Y</v>
      </c>
      <c r="CG5" s="149" t="str">
        <f t="shared" si="0"/>
        <v>2020Y</v>
      </c>
      <c r="CH5" s="149"/>
      <c r="CI5" s="149" t="s">
        <v>183</v>
      </c>
      <c r="CJ5" s="149" t="str">
        <f t="shared" ref="CJ5:CT5" si="1">(LEFT(CI5,4)+1)&amp;"Y"</f>
        <v>2010Y</v>
      </c>
      <c r="CK5" s="149" t="str">
        <f t="shared" si="1"/>
        <v>2011Y</v>
      </c>
      <c r="CL5" s="149" t="str">
        <f t="shared" si="1"/>
        <v>2012Y</v>
      </c>
      <c r="CM5" s="149" t="str">
        <f t="shared" si="1"/>
        <v>2013Y</v>
      </c>
      <c r="CN5" s="149" t="str">
        <f t="shared" si="1"/>
        <v>2014Y</v>
      </c>
      <c r="CO5" s="149" t="str">
        <f t="shared" si="1"/>
        <v>2015Y</v>
      </c>
      <c r="CP5" s="149" t="str">
        <f t="shared" si="1"/>
        <v>2016Y</v>
      </c>
      <c r="CQ5" s="149" t="str">
        <f t="shared" si="1"/>
        <v>2017Y</v>
      </c>
      <c r="CR5" s="149" t="str">
        <f t="shared" si="1"/>
        <v>2018Y</v>
      </c>
      <c r="CS5" s="149" t="str">
        <f t="shared" si="1"/>
        <v>2019Y</v>
      </c>
      <c r="CT5" s="149" t="str">
        <f t="shared" si="1"/>
        <v>2020Y</v>
      </c>
    </row>
    <row r="6" spans="1:98" s="151" customFormat="1" ht="16.5">
      <c r="E6" s="159"/>
      <c r="F6" s="160" t="s">
        <v>185</v>
      </c>
      <c r="G6" s="160" t="s">
        <v>186</v>
      </c>
      <c r="H6" s="160" t="s">
        <v>187</v>
      </c>
      <c r="I6" s="160">
        <v>2011</v>
      </c>
      <c r="J6" s="160" t="s">
        <v>188</v>
      </c>
      <c r="K6" s="160" t="s">
        <v>189</v>
      </c>
      <c r="L6" s="160" t="s">
        <v>190</v>
      </c>
      <c r="M6" s="160" t="s">
        <v>12</v>
      </c>
      <c r="N6" s="160" t="s">
        <v>26</v>
      </c>
      <c r="O6" s="160" t="s">
        <v>88</v>
      </c>
      <c r="P6" s="162" t="s">
        <v>314</v>
      </c>
      <c r="Q6" s="162" t="s">
        <v>329</v>
      </c>
      <c r="R6" s="162" t="s">
        <v>341</v>
      </c>
      <c r="S6" s="161">
        <f>+I6</f>
        <v>2011</v>
      </c>
      <c r="T6" s="160" t="str">
        <f>+J6</f>
        <v>2012E</v>
      </c>
      <c r="U6" s="160" t="str">
        <f>+K6</f>
        <v>2013E</v>
      </c>
      <c r="V6" s="162" t="s">
        <v>190</v>
      </c>
      <c r="W6" s="162" t="s">
        <v>12</v>
      </c>
      <c r="X6" s="162" t="s">
        <v>26</v>
      </c>
      <c r="Y6" s="162" t="s">
        <v>88</v>
      </c>
      <c r="Z6" s="162" t="s">
        <v>314</v>
      </c>
      <c r="AA6" s="162" t="s">
        <v>329</v>
      </c>
      <c r="AB6" s="162" t="s">
        <v>341</v>
      </c>
      <c r="AC6" s="161">
        <f>+S6</f>
        <v>2011</v>
      </c>
      <c r="AD6" s="160" t="str">
        <f>+T6</f>
        <v>2012E</v>
      </c>
      <c r="AE6" s="160" t="str">
        <f>+U6</f>
        <v>2013E</v>
      </c>
      <c r="AF6" s="162" t="s">
        <v>190</v>
      </c>
      <c r="AG6" s="162" t="s">
        <v>12</v>
      </c>
      <c r="AH6" s="162" t="s">
        <v>26</v>
      </c>
      <c r="AI6" s="162" t="s">
        <v>88</v>
      </c>
      <c r="AJ6" s="162" t="s">
        <v>314</v>
      </c>
      <c r="AK6" s="162" t="s">
        <v>329</v>
      </c>
      <c r="AL6" s="162" t="s">
        <v>341</v>
      </c>
      <c r="AM6" s="163"/>
      <c r="AN6" s="164" t="s">
        <v>191</v>
      </c>
      <c r="BG6" s="165" t="s">
        <v>192</v>
      </c>
      <c r="BH6" s="146"/>
      <c r="BI6" s="146" t="s">
        <v>193</v>
      </c>
      <c r="BJ6" s="146" t="s">
        <v>193</v>
      </c>
      <c r="BK6" s="146" t="s">
        <v>193</v>
      </c>
      <c r="BL6" s="146" t="s">
        <v>193</v>
      </c>
      <c r="BM6" s="146" t="s">
        <v>193</v>
      </c>
      <c r="BN6" s="146" t="s">
        <v>193</v>
      </c>
      <c r="BO6" s="146" t="s">
        <v>193</v>
      </c>
      <c r="BP6" s="146" t="s">
        <v>193</v>
      </c>
      <c r="BQ6" s="146" t="s">
        <v>193</v>
      </c>
      <c r="BR6" s="146" t="s">
        <v>193</v>
      </c>
      <c r="BS6" s="146" t="s">
        <v>193</v>
      </c>
      <c r="BT6" s="146" t="s">
        <v>193</v>
      </c>
      <c r="BU6" s="146"/>
      <c r="BV6" s="146" t="s">
        <v>194</v>
      </c>
      <c r="BW6" s="146" t="str">
        <f>BV6</f>
        <v>BEST_CUR_EV_TO_EBITDA</v>
      </c>
      <c r="BX6" s="146" t="s">
        <v>194</v>
      </c>
      <c r="BY6" s="146" t="str">
        <f t="shared" ref="BY6:CG6" si="2">BX6</f>
        <v>BEST_CUR_EV_TO_EBITDA</v>
      </c>
      <c r="BZ6" s="146" t="str">
        <f t="shared" si="2"/>
        <v>BEST_CUR_EV_TO_EBITDA</v>
      </c>
      <c r="CA6" s="146" t="str">
        <f t="shared" si="2"/>
        <v>BEST_CUR_EV_TO_EBITDA</v>
      </c>
      <c r="CB6" s="146" t="str">
        <f t="shared" si="2"/>
        <v>BEST_CUR_EV_TO_EBITDA</v>
      </c>
      <c r="CC6" s="146" t="str">
        <f t="shared" si="2"/>
        <v>BEST_CUR_EV_TO_EBITDA</v>
      </c>
      <c r="CD6" s="146" t="str">
        <f t="shared" si="2"/>
        <v>BEST_CUR_EV_TO_EBITDA</v>
      </c>
      <c r="CE6" s="146" t="str">
        <f t="shared" si="2"/>
        <v>BEST_CUR_EV_TO_EBITDA</v>
      </c>
      <c r="CF6" s="146" t="str">
        <f t="shared" si="2"/>
        <v>BEST_CUR_EV_TO_EBITDA</v>
      </c>
      <c r="CG6" s="146" t="str">
        <f t="shared" si="2"/>
        <v>BEST_CUR_EV_TO_EBITDA</v>
      </c>
      <c r="CH6" s="146"/>
      <c r="CI6" s="146" t="s">
        <v>195</v>
      </c>
      <c r="CJ6" s="146" t="s">
        <v>195</v>
      </c>
      <c r="CK6" s="146" t="s">
        <v>195</v>
      </c>
      <c r="CL6" s="146" t="s">
        <v>195</v>
      </c>
      <c r="CM6" s="146" t="s">
        <v>195</v>
      </c>
      <c r="CN6" s="146" t="s">
        <v>195</v>
      </c>
      <c r="CO6" s="146" t="s">
        <v>195</v>
      </c>
      <c r="CP6" s="146" t="s">
        <v>195</v>
      </c>
      <c r="CQ6" s="146" t="s">
        <v>195</v>
      </c>
      <c r="CR6" s="146" t="s">
        <v>195</v>
      </c>
      <c r="CS6" s="146" t="s">
        <v>195</v>
      </c>
      <c r="CT6" s="146" t="s">
        <v>195</v>
      </c>
    </row>
    <row r="7" spans="1:98" ht="16.5">
      <c r="A7" s="166" t="s">
        <v>196</v>
      </c>
      <c r="B7" s="166" t="s">
        <v>173</v>
      </c>
      <c r="C7" s="166" t="s">
        <v>197</v>
      </c>
      <c r="D7" s="166" t="s">
        <v>172</v>
      </c>
      <c r="E7" s="167" t="s">
        <v>72</v>
      </c>
      <c r="F7" s="168"/>
      <c r="G7" s="169"/>
      <c r="H7" s="170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  <c r="T7" s="171"/>
      <c r="U7" s="171"/>
      <c r="V7" s="171"/>
      <c r="W7" s="173"/>
      <c r="X7" s="173"/>
      <c r="Y7" s="173"/>
      <c r="Z7" s="173"/>
      <c r="AA7" s="173"/>
      <c r="AB7" s="173"/>
      <c r="AC7" s="174"/>
      <c r="AD7" s="173"/>
      <c r="AE7" s="173"/>
      <c r="AF7" s="173"/>
      <c r="AG7" s="173"/>
      <c r="AH7" s="173"/>
      <c r="AI7" s="173"/>
      <c r="AJ7" s="173"/>
      <c r="AK7" s="173"/>
      <c r="AL7" s="173"/>
      <c r="AM7" s="175"/>
      <c r="AN7" s="176" t="str">
        <f>+E7</f>
        <v>USA</v>
      </c>
      <c r="BI7" s="139" t="e">
        <f ca="1">_xll.BDP(#REF!&amp;" equity","BEST_FFOps","BEST_FPERIOD_OVERRIDE",#REF!,"BEST_DATA_SOURCE_OVERRIDE","BST","BEST_CONSOLIDATED_OVERRIDE","C")</f>
        <v>#NAME?</v>
      </c>
      <c r="BN7" s="139" t="s">
        <v>198</v>
      </c>
    </row>
    <row r="8" spans="1:98" s="178" customFormat="1" ht="16.5">
      <c r="A8" s="177" t="e">
        <f t="shared" ref="A8:A19" ca="1" si="3">BB8/1000000</f>
        <v>#NAME?</v>
      </c>
      <c r="B8" s="178" t="e">
        <f ca="1">_xll.BDP(TEXT($F8,)&amp;" equity",TEXT($B$7,))</f>
        <v>#NAME?</v>
      </c>
      <c r="C8" s="178" t="s">
        <v>199</v>
      </c>
      <c r="D8" s="178" t="e">
        <f ca="1">_xll.BDP(TEXT($B8,)&amp;" Curncy",TEXT($D$7,))</f>
        <v>#NAME?</v>
      </c>
      <c r="E8" s="179" t="e">
        <f ca="1">_xll.BDP(TEXT(BloombergCode,)&amp;" equity","LONG_COMP_NAME")</f>
        <v>#NAME?</v>
      </c>
      <c r="F8" s="180" t="s">
        <v>200</v>
      </c>
      <c r="G8" s="181" t="e">
        <f t="shared" ref="G8:G19" ca="1" si="4">AZ8</f>
        <v>#NAME?</v>
      </c>
      <c r="H8" s="182" t="e">
        <f t="shared" ref="H8:H19" ca="1" si="5">IF(C8="Mult",D8*A8,IF(C8="Div",A8/D8,"Error"))</f>
        <v>#NAME?</v>
      </c>
      <c r="I8" s="183" t="e">
        <f t="shared" ref="I8:R12" ca="1" si="6">BX8</f>
        <v>#NAME?</v>
      </c>
      <c r="J8" s="183" t="e">
        <f t="shared" ca="1" si="6"/>
        <v>#NAME?</v>
      </c>
      <c r="K8" s="183" t="e">
        <f t="shared" ca="1" si="6"/>
        <v>#NAME?</v>
      </c>
      <c r="L8" s="183" t="e">
        <f t="shared" ca="1" si="6"/>
        <v>#NAME?</v>
      </c>
      <c r="M8" s="183" t="e">
        <f t="shared" ca="1" si="6"/>
        <v>#NAME?</v>
      </c>
      <c r="N8" s="183" t="e">
        <f t="shared" ca="1" si="6"/>
        <v>#NAME?</v>
      </c>
      <c r="O8" s="183" t="e">
        <f t="shared" ca="1" si="6"/>
        <v>#NAME?</v>
      </c>
      <c r="P8" s="183" t="e">
        <f t="shared" ca="1" si="6"/>
        <v>#NAME?</v>
      </c>
      <c r="Q8" s="183" t="e">
        <f t="shared" ca="1" si="6"/>
        <v>#NAME?</v>
      </c>
      <c r="R8" s="183" t="e">
        <f t="shared" ca="1" si="6"/>
        <v>#NAME?</v>
      </c>
      <c r="S8" s="184" t="e">
        <f t="shared" ref="S8:S19" ca="1" si="7">$G8/BK8</f>
        <v>#NAME?</v>
      </c>
      <c r="T8" s="183" t="e">
        <f t="shared" ref="T8:T19" ca="1" si="8">$G8/BL8</f>
        <v>#NAME?</v>
      </c>
      <c r="U8" s="183" t="e">
        <f t="shared" ref="U8:U19" ca="1" si="9">$G8/BM8</f>
        <v>#NAME?</v>
      </c>
      <c r="V8" s="183" t="e">
        <f t="shared" ref="V8:V19" ca="1" si="10">$G8/BN8</f>
        <v>#NAME?</v>
      </c>
      <c r="W8" s="183" t="e">
        <f t="shared" ref="W8:W19" ca="1" si="11">$G8/BO8</f>
        <v>#NAME?</v>
      </c>
      <c r="X8" s="183" t="e">
        <f t="shared" ref="X8:X19" ca="1" si="12">$G8/BP8</f>
        <v>#NAME?</v>
      </c>
      <c r="Y8" s="183" t="e">
        <f t="shared" ref="Y8:Y19" ca="1" si="13">$G8/BQ8</f>
        <v>#NAME?</v>
      </c>
      <c r="Z8" s="183" t="e">
        <f t="shared" ref="Z8:Z19" ca="1" si="14">$G8/BR8</f>
        <v>#NAME?</v>
      </c>
      <c r="AA8" s="183" t="e">
        <f t="shared" ref="AA8:AB19" ca="1" si="15">$G8/BS8</f>
        <v>#NAME?</v>
      </c>
      <c r="AB8" s="183" t="e">
        <f t="shared" ca="1" si="15"/>
        <v>#NAME?</v>
      </c>
      <c r="AC8" s="185" t="e">
        <f ca="1">CK8/100</f>
        <v>#NAME?</v>
      </c>
      <c r="AD8" s="186" t="e">
        <f t="shared" ref="AD8:AD19" ca="1" si="16">CL8/100</f>
        <v>#NAME?</v>
      </c>
      <c r="AE8" s="186" t="e">
        <f t="shared" ref="AE8:AE19" ca="1" si="17">CM8/100</f>
        <v>#NAME?</v>
      </c>
      <c r="AF8" s="186" t="e">
        <f t="shared" ref="AF8:AF19" ca="1" si="18">CN8/100</f>
        <v>#NAME?</v>
      </c>
      <c r="AG8" s="186" t="e">
        <f t="shared" ref="AG8:AG19" ca="1" si="19">CO8/100</f>
        <v>#NAME?</v>
      </c>
      <c r="AH8" s="186" t="e">
        <f t="shared" ref="AH8:AH19" ca="1" si="20">CP8/100</f>
        <v>#NAME?</v>
      </c>
      <c r="AI8" s="186" t="e">
        <f t="shared" ref="AI8:AL19" ca="1" si="21">CQ8/100</f>
        <v>#NAME?</v>
      </c>
      <c r="AJ8" s="186" t="e">
        <f t="shared" ca="1" si="21"/>
        <v>#NAME?</v>
      </c>
      <c r="AK8" s="186" t="e">
        <f t="shared" ca="1" si="21"/>
        <v>#NAME?</v>
      </c>
      <c r="AL8" s="186" t="e">
        <f t="shared" ca="1" si="21"/>
        <v>#NAME?</v>
      </c>
      <c r="AM8" s="175"/>
      <c r="AN8" s="148" t="e">
        <f t="shared" ref="AN8:AN19" ca="1" si="22">+E8&amp;IF(LEFT(AR8,1)="#",""," ("&amp;AR8&amp;")")</f>
        <v>#NAME?</v>
      </c>
      <c r="AO8" s="134"/>
      <c r="AP8" s="187"/>
      <c r="AQ8" s="136"/>
      <c r="AR8" s="188" t="e">
        <f ca="1">IF(LEFT(_xll.BDP(TEXT(BloombergCode,)&amp;" equity",TEXT(BloombergItem,)),1)="#",AV8,_xll.BDP(TEXT(BloombergCode,)&amp;" equity",TEXT(BloombergItem,)))</f>
        <v>#NAME?</v>
      </c>
      <c r="AS8" s="138" t="e">
        <f ca="1">IF(LEFT(_xll.BDP(AR8&amp;" Curncy",TEXT(BloombergItem,)),1)="#",AW8,_xll.BDP(AR8&amp;" Curncy",TEXT(BloombergItem,)))</f>
        <v>#NAME?</v>
      </c>
      <c r="AT8" s="138" t="e">
        <f ca="1">VLOOKUP('Global Properties'!$AR8,#REF!,2,0)</f>
        <v>#NAME?</v>
      </c>
      <c r="AU8" s="189" t="e">
        <f ca="1">_xll.BDP(AR8&amp;" Curncy",TEXT(BloombergItem,))</f>
        <v>#NAME?</v>
      </c>
      <c r="AV8" s="190" t="e">
        <f ca="1">_xll.BDP(TEXT(BloombergCode,)&amp;" equity",TEXT(BloombergItem,))</f>
        <v>#NAME?</v>
      </c>
      <c r="AW8" s="189" t="e">
        <f ca="1">_xll.BDP(AV8&amp;" Curncy",TEXT(BloombergItem,))</f>
        <v>#NAME?</v>
      </c>
      <c r="AX8" s="138" t="e">
        <f ca="1">VLOOKUP('Global Properties'!$AV8,#REF!,2,0)</f>
        <v>#NAME?</v>
      </c>
      <c r="AY8" s="189" t="e">
        <f ca="1">_xll.BDP(TEXT(BloombergCode,)&amp;" equity",TEXT(BloombergItem,))</f>
        <v>#NAME?</v>
      </c>
      <c r="AZ8" s="189" t="e">
        <f ca="1">_xll.BDP(TEXT(BloombergCode,)&amp;" equity",TEXT(BloombergItem,))</f>
        <v>#NAME?</v>
      </c>
      <c r="BA8" s="190" t="e">
        <f ca="1">_xll.BDP(TEXT(BloombergCode,)&amp;" equity",TEXT(BloombergItem,))</f>
        <v>#NAME?</v>
      </c>
      <c r="BB8" s="190" t="e">
        <f ca="1">_xll.BDP(TEXT(BloombergCode,)&amp;" equity",TEXT(BloombergItem,))</f>
        <v>#NAME?</v>
      </c>
      <c r="BC8" s="190" t="e">
        <f ca="1">_xll.BDP(TEXT(BloombergCode,)&amp;" equity",TEXT(BloombergItem,))</f>
        <v>#NAME?</v>
      </c>
      <c r="BD8" s="190"/>
      <c r="BE8" s="139" t="str">
        <f t="shared" ref="BE8:BE19" si="23">BloombergCode&amp;" equity"</f>
        <v>SPG US equity</v>
      </c>
      <c r="BF8" s="139"/>
      <c r="BH8" s="191"/>
      <c r="BI8" s="191" t="e">
        <f ca="1">_xll.BDP($BE8,BI$6,"BEST_FPERIOD_OVERRIDE",BI$5,"BEST_DATA_SOURCE_OVERRIDE","BST","BEST_CONSOLIDATED_OVERRIDE","C")</f>
        <v>#NAME?</v>
      </c>
      <c r="BJ8" s="191" t="e">
        <f ca="1">_xll.BDP($BE8,BJ$6,"BEST_FPERIOD_OVERRIDE",BJ$5,"BEST_DATA_SOURCE_OVERRIDE","BST","BEST_CONSOLIDATED_OVERRIDE","C")</f>
        <v>#NAME?</v>
      </c>
      <c r="BK8" s="191" t="e">
        <f ca="1">_xll.BDP($BE8,BK$6,"BEST_FPERIOD_OVERRIDE",BK$5,"BEST_DATA_SOURCE_OVERRIDE","BST","BEST_CONSOLIDATED_OVERRIDE","C")</f>
        <v>#NAME?</v>
      </c>
      <c r="BL8" s="191" t="e">
        <f ca="1">_xll.BDP($BE8,BL$6,"BEST_FPERIOD_OVERRIDE",BL$5,"BEST_DATA_SOURCE_OVERRIDE","BST","BEST_CONSOLIDATED_OVERRIDE","C")</f>
        <v>#NAME?</v>
      </c>
      <c r="BM8" s="191" t="e">
        <f ca="1">_xll.BDP($BE8,BM$6,"BEST_FPERIOD_OVERRIDE",BM$5,"BEST_DATA_SOURCE_OVERRIDE","BST","BEST_CONSOLIDATED_OVERRIDE","C")</f>
        <v>#NAME?</v>
      </c>
      <c r="BN8" s="191" t="e">
        <f ca="1">_xll.BDP($BE8,BN$6,"BEST_FPERIOD_OVERRIDE",BN$5,"BEST_DATA_SOURCE_OVERRIDE","BST","BEST_CONSOLIDATED_OVERRIDE","C")</f>
        <v>#NAME?</v>
      </c>
      <c r="BO8" s="191" t="e">
        <f ca="1">_xll.BDP($BE8,BO$6,"BEST_FPERIOD_OVERRIDE",BO$5,"BEST_DATA_SOURCE_OVERRIDE","BST","BEST_CONSOLIDATED_OVERRIDE","C")</f>
        <v>#NAME?</v>
      </c>
      <c r="BP8" s="191" t="e">
        <f ca="1">_xll.BDP($BE8,BP$6,"BEST_FPERIOD_OVERRIDE",BP$5,"BEST_DATA_SOURCE_OVERRIDE","BST","BEST_CONSOLIDATED_OVERRIDE","C")</f>
        <v>#NAME?</v>
      </c>
      <c r="BQ8" s="191" t="e">
        <f ca="1">_xll.BDP($BE8,BQ$6,"BEST_FPERIOD_OVERRIDE",BQ$5,"BEST_DATA_SOURCE_OVERRIDE","BST","BEST_CONSOLIDATED_OVERRIDE","C")</f>
        <v>#NAME?</v>
      </c>
      <c r="BR8" s="191" t="e">
        <f ca="1">_xll.BDP($BE8,BR$6,"BEST_FPERIOD_OVERRIDE",BR$5,"BEST_DATA_SOURCE_OVERRIDE","BST","BEST_CONSOLIDATED_OVERRIDE","C")</f>
        <v>#NAME?</v>
      </c>
      <c r="BS8" s="191" t="e">
        <f ca="1">_xll.BDP($BE8,BS$6,"BEST_FPERIOD_OVERRIDE",BS$5,"BEST_DATA_SOURCE_OVERRIDE","BST","BEST_CONSOLIDATED_OVERRIDE","C")</f>
        <v>#NAME?</v>
      </c>
      <c r="BT8" s="191" t="e">
        <f ca="1">_xll.BDP($BE8,BT$6,"BEST_FPERIOD_OVERRIDE",BT$5,"BEST_DATA_SOURCE_OVERRIDE","BST","BEST_CONSOLIDATED_OVERRIDE","C")</f>
        <v>#NAME?</v>
      </c>
      <c r="BV8" s="191" t="e">
        <f ca="1">_xll.BDP($BE8,BV$6,"BEST_FPERIOD_OVERRIDE",BV$5,"BEST_DATA_SOURCE_OVERRIDE","BST","BEST_CONSOLIDATED_OVERRIDE","C")</f>
        <v>#NAME?</v>
      </c>
      <c r="BW8" s="191" t="e">
        <f ca="1">_xll.BDP($BE8,BW$6,"BEST_FPERIOD_OVERRIDE",BW$5,"BEST_DATA_SOURCE_OVERRIDE","BST","BEST_CONSOLIDATED_OVERRIDE","C")</f>
        <v>#NAME?</v>
      </c>
      <c r="BX8" s="191" t="e">
        <f ca="1">_xll.BDP($BE8,BX$6,"BEST_FPERIOD_OVERRIDE",BX$5,"BEST_DATA_SOURCE_OVERRIDE","BST","BEST_CONSOLIDATED_OVERRIDE","C")</f>
        <v>#NAME?</v>
      </c>
      <c r="BY8" s="191" t="e">
        <f ca="1">_xll.BDP($BE8,BY$6,"BEST_FPERIOD_OVERRIDE",BY$5,"BEST_DATA_SOURCE_OVERRIDE","BST","BEST_CONSOLIDATED_OVERRIDE","C")</f>
        <v>#NAME?</v>
      </c>
      <c r="BZ8" s="191" t="e">
        <f ca="1">_xll.BDP($BE8,BZ$6,"BEST_FPERIOD_OVERRIDE",BZ$5,"BEST_DATA_SOURCE_OVERRIDE","BST","BEST_CONSOLIDATED_OVERRIDE","C")</f>
        <v>#NAME?</v>
      </c>
      <c r="CA8" s="191" t="e">
        <f ca="1">_xll.BDP($BE8,CA$6,"BEST_FPERIOD_OVERRIDE",CA$5,"BEST_DATA_SOURCE_OVERRIDE","BST","BEST_CONSOLIDATED_OVERRIDE","C")</f>
        <v>#NAME?</v>
      </c>
      <c r="CB8" s="191" t="e">
        <f ca="1">_xll.BDP($BE8,CB$6,"BEST_FPERIOD_OVERRIDE",CB$5,"BEST_DATA_SOURCE_OVERRIDE","BST","BEST_CONSOLIDATED_OVERRIDE","C")</f>
        <v>#NAME?</v>
      </c>
      <c r="CC8" s="191" t="e">
        <f ca="1">_xll.BDP($BE8,CC$6,"BEST_FPERIOD_OVERRIDE",CC$5,"BEST_DATA_SOURCE_OVERRIDE","BST","BEST_CONSOLIDATED_OVERRIDE","C")</f>
        <v>#NAME?</v>
      </c>
      <c r="CD8" s="191" t="e">
        <f ca="1">_xll.BDP($BE8,CD$6,"BEST_FPERIOD_OVERRIDE",CD$5,"BEST_DATA_SOURCE_OVERRIDE","BST","BEST_CONSOLIDATED_OVERRIDE","C")</f>
        <v>#NAME?</v>
      </c>
      <c r="CE8" s="191" t="e">
        <f ca="1">_xll.BDP($BE8,CE$6,"BEST_FPERIOD_OVERRIDE",CE$5,"BEST_DATA_SOURCE_OVERRIDE","BST","BEST_CONSOLIDATED_OVERRIDE","C")</f>
        <v>#NAME?</v>
      </c>
      <c r="CF8" s="191" t="e">
        <f ca="1">_xll.BDP($BE8,CF$6,"BEST_FPERIOD_OVERRIDE",CF$5,"BEST_DATA_SOURCE_OVERRIDE","BST","BEST_CONSOLIDATED_OVERRIDE","C")</f>
        <v>#NAME?</v>
      </c>
      <c r="CG8" s="191" t="e">
        <f ca="1">_xll.BDP($BE8,CG$6,"BEST_FPERIOD_OVERRIDE",CG$5,"BEST_DATA_SOURCE_OVERRIDE","BST","BEST_CONSOLIDATED_OVERRIDE","C")</f>
        <v>#NAME?</v>
      </c>
      <c r="CH8" s="191"/>
      <c r="CI8" s="192" t="e">
        <f ca="1">_xll.BDP($BE8,CI$6,"BEST_FPERIOD_OVERRIDE",CI$5,"BEST_DATA_SOURCE_OVERRIDE","BST","BEST_CONSOLIDATED_OVERRIDE","C")</f>
        <v>#NAME?</v>
      </c>
      <c r="CJ8" s="192" t="e">
        <f ca="1">_xll.BDP($BE8,CJ$6,"BEST_FPERIOD_OVERRIDE",CJ$5,"BEST_DATA_SOURCE_OVERRIDE","BST","BEST_CONSOLIDATED_OVERRIDE","C")</f>
        <v>#NAME?</v>
      </c>
      <c r="CK8" s="192" t="e">
        <f ca="1">_xll.BDP($BE8,CK$6,"BEST_FPERIOD_OVERRIDE",CK$5,"BEST_DATA_SOURCE_OVERRIDE","BST","BEST_CONSOLIDATED_OVERRIDE","C")</f>
        <v>#NAME?</v>
      </c>
      <c r="CL8" s="192" t="e">
        <f ca="1">_xll.BDP($BE8,CL$6,"BEST_FPERIOD_OVERRIDE",CL$5,"BEST_DATA_SOURCE_OVERRIDE","BST","BEST_CONSOLIDATED_OVERRIDE","C")</f>
        <v>#NAME?</v>
      </c>
      <c r="CM8" s="192" t="e">
        <f ca="1">_xll.BDP($BE8,CM$6,"BEST_FPERIOD_OVERRIDE",CM$5,"BEST_DATA_SOURCE_OVERRIDE","BST","BEST_CONSOLIDATED_OVERRIDE","C")</f>
        <v>#NAME?</v>
      </c>
      <c r="CN8" s="192" t="e">
        <f ca="1">_xll.BDP($BE8,CN$6,"BEST_FPERIOD_OVERRIDE",CN$5,"BEST_DATA_SOURCE_OVERRIDE","BST","BEST_CONSOLIDATED_OVERRIDE","C")</f>
        <v>#NAME?</v>
      </c>
      <c r="CO8" s="192" t="e">
        <f ca="1">_xll.BDP($BE8,CO$6,"BEST_FPERIOD_OVERRIDE",CO$5,"BEST_DATA_SOURCE_OVERRIDE","BST","BEST_CONSOLIDATED_OVERRIDE","C")</f>
        <v>#NAME?</v>
      </c>
      <c r="CP8" s="192" t="e">
        <f ca="1">_xll.BDP($BE8,CP$6,"BEST_FPERIOD_OVERRIDE",CP$5,"BEST_DATA_SOURCE_OVERRIDE","BST","BEST_CONSOLIDATED_OVERRIDE","C")</f>
        <v>#NAME?</v>
      </c>
      <c r="CQ8" s="192" t="e">
        <f ca="1">_xll.BDP($BE8,CQ$6,"BEST_FPERIOD_OVERRIDE",CQ$5,"BEST_DATA_SOURCE_OVERRIDE","BST","BEST_CONSOLIDATED_OVERRIDE","C")</f>
        <v>#NAME?</v>
      </c>
      <c r="CR8" s="192" t="e">
        <f ca="1">_xll.BDP($BE8,CR$6,"BEST_FPERIOD_OVERRIDE",CR$5,"BEST_DATA_SOURCE_OVERRIDE","BST","BEST_CONSOLIDATED_OVERRIDE","C")</f>
        <v>#NAME?</v>
      </c>
      <c r="CS8" s="192" t="e">
        <f ca="1">_xll.BDP($BE8,CS$6,"BEST_FPERIOD_OVERRIDE",CS$5,"BEST_DATA_SOURCE_OVERRIDE","BST","BEST_CONSOLIDATED_OVERRIDE","C")</f>
        <v>#NAME?</v>
      </c>
      <c r="CT8" s="192" t="e">
        <f ca="1">_xll.BDP($BE8,CT$6,"BEST_FPERIOD_OVERRIDE",CT$5,"BEST_DATA_SOURCE_OVERRIDE","BST","BEST_CONSOLIDATED_OVERRIDE","C")</f>
        <v>#NAME?</v>
      </c>
    </row>
    <row r="9" spans="1:98" s="211" customFormat="1" ht="16.5">
      <c r="A9" s="177" t="e">
        <f t="shared" ca="1" si="3"/>
        <v>#NAME?</v>
      </c>
      <c r="B9" s="178" t="e">
        <f ca="1">_xll.BDP(TEXT($F9,)&amp;" equity",TEXT($B$7,))</f>
        <v>#NAME?</v>
      </c>
      <c r="C9" s="178" t="s">
        <v>199</v>
      </c>
      <c r="D9" s="178" t="e">
        <f ca="1">_xll.BDP(TEXT($B9,)&amp;" Curncy",TEXT($D$7,))</f>
        <v>#NAME?</v>
      </c>
      <c r="E9" s="193" t="e">
        <f ca="1">_xll.BDP(TEXT(BloombergCode,)&amp;" equity","LONG_COMP_NAME")</f>
        <v>#NAME?</v>
      </c>
      <c r="F9" s="194" t="s">
        <v>201</v>
      </c>
      <c r="G9" s="195" t="e">
        <f t="shared" ca="1" si="4"/>
        <v>#NAME?</v>
      </c>
      <c r="H9" s="196" t="e">
        <f t="shared" ca="1" si="5"/>
        <v>#NAME?</v>
      </c>
      <c r="I9" s="197" t="e">
        <f t="shared" ca="1" si="6"/>
        <v>#NAME?</v>
      </c>
      <c r="J9" s="197" t="e">
        <f t="shared" ca="1" si="6"/>
        <v>#NAME?</v>
      </c>
      <c r="K9" s="197" t="e">
        <f t="shared" ca="1" si="6"/>
        <v>#NAME?</v>
      </c>
      <c r="L9" s="197" t="e">
        <f t="shared" ca="1" si="6"/>
        <v>#NAME?</v>
      </c>
      <c r="M9" s="197" t="e">
        <f t="shared" ca="1" si="6"/>
        <v>#NAME?</v>
      </c>
      <c r="N9" s="197" t="e">
        <f t="shared" ca="1" si="6"/>
        <v>#NAME?</v>
      </c>
      <c r="O9" s="197" t="e">
        <f t="shared" ca="1" si="6"/>
        <v>#NAME?</v>
      </c>
      <c r="P9" s="197" t="e">
        <f t="shared" ca="1" si="6"/>
        <v>#NAME?</v>
      </c>
      <c r="Q9" s="197" t="e">
        <f t="shared" ca="1" si="6"/>
        <v>#NAME?</v>
      </c>
      <c r="R9" s="197" t="e">
        <f t="shared" ca="1" si="6"/>
        <v>#NAME?</v>
      </c>
      <c r="S9" s="198" t="e">
        <f t="shared" ca="1" si="7"/>
        <v>#NAME?</v>
      </c>
      <c r="T9" s="197" t="e">
        <f t="shared" ca="1" si="8"/>
        <v>#NAME?</v>
      </c>
      <c r="U9" s="197" t="e">
        <f t="shared" ca="1" si="9"/>
        <v>#NAME?</v>
      </c>
      <c r="V9" s="197" t="e">
        <f t="shared" ca="1" si="10"/>
        <v>#NAME?</v>
      </c>
      <c r="W9" s="197" t="e">
        <f t="shared" ca="1" si="11"/>
        <v>#NAME?</v>
      </c>
      <c r="X9" s="197" t="e">
        <f t="shared" ca="1" si="12"/>
        <v>#NAME?</v>
      </c>
      <c r="Y9" s="197" t="e">
        <f t="shared" ca="1" si="13"/>
        <v>#NAME?</v>
      </c>
      <c r="Z9" s="197" t="e">
        <f t="shared" ca="1" si="14"/>
        <v>#NAME?</v>
      </c>
      <c r="AA9" s="197" t="e">
        <f t="shared" ca="1" si="15"/>
        <v>#NAME?</v>
      </c>
      <c r="AB9" s="197" t="e">
        <f t="shared" ca="1" si="15"/>
        <v>#NAME?</v>
      </c>
      <c r="AC9" s="199" t="e">
        <f t="shared" ref="AC9:AC19" ca="1" si="24">CK9/100</f>
        <v>#NAME?</v>
      </c>
      <c r="AD9" s="200" t="e">
        <f t="shared" ca="1" si="16"/>
        <v>#NAME?</v>
      </c>
      <c r="AE9" s="200" t="e">
        <f t="shared" ca="1" si="17"/>
        <v>#NAME?</v>
      </c>
      <c r="AF9" s="200" t="e">
        <f t="shared" ca="1" si="18"/>
        <v>#NAME?</v>
      </c>
      <c r="AG9" s="200" t="e">
        <f t="shared" ca="1" si="19"/>
        <v>#NAME?</v>
      </c>
      <c r="AH9" s="200" t="e">
        <f t="shared" ca="1" si="20"/>
        <v>#NAME?</v>
      </c>
      <c r="AI9" s="200" t="e">
        <f t="shared" ca="1" si="21"/>
        <v>#NAME?</v>
      </c>
      <c r="AJ9" s="200" t="e">
        <f t="shared" ca="1" si="21"/>
        <v>#NAME?</v>
      </c>
      <c r="AK9" s="200" t="e">
        <f t="shared" ca="1" si="21"/>
        <v>#NAME?</v>
      </c>
      <c r="AL9" s="200" t="e">
        <f t="shared" ca="1" si="21"/>
        <v>#NAME?</v>
      </c>
      <c r="AM9" s="201"/>
      <c r="AN9" s="202" t="e">
        <f t="shared" ca="1" si="22"/>
        <v>#NAME?</v>
      </c>
      <c r="AO9" s="203"/>
      <c r="AP9" s="204"/>
      <c r="AQ9" s="204"/>
      <c r="AR9" s="205" t="e">
        <f ca="1">IF(LEFT(_xll.BDP(TEXT(BloombergCode,)&amp;" equity",TEXT(BloombergItem,)),1)="#",AV9,_xll.BDP(TEXT(BloombergCode,)&amp;" equity",TEXT(BloombergItem,)))</f>
        <v>#NAME?</v>
      </c>
      <c r="AS9" s="206" t="e">
        <f ca="1">IF(LEFT(_xll.BDP(AR9&amp;" Curncy",TEXT(BloombergItem,)),1)="#",AW9,_xll.BDP(AR9&amp;" Curncy",TEXT(BloombergItem,)))</f>
        <v>#NAME?</v>
      </c>
      <c r="AT9" s="206" t="e">
        <f ca="1">VLOOKUP('Global Properties'!$AR9,#REF!,2,0)</f>
        <v>#NAME?</v>
      </c>
      <c r="AU9" s="207" t="e">
        <f ca="1">_xll.BDP(AR9&amp;" Curncy",TEXT(BloombergItem,))</f>
        <v>#NAME?</v>
      </c>
      <c r="AV9" s="208" t="e">
        <f ca="1">_xll.BDP(TEXT(BloombergCode,)&amp;" equity",TEXT(BloombergItem,))</f>
        <v>#NAME?</v>
      </c>
      <c r="AW9" s="207" t="e">
        <f ca="1">_xll.BDP(AV9&amp;" Curncy",TEXT(BloombergItem,))</f>
        <v>#NAME?</v>
      </c>
      <c r="AX9" s="206" t="e">
        <f ca="1">VLOOKUP('Global Properties'!$AV9,#REF!,2,0)</f>
        <v>#NAME?</v>
      </c>
      <c r="AY9" s="207" t="e">
        <f ca="1">_xll.BDP(TEXT(BloombergCode,)&amp;" equity",TEXT(BloombergItem,))</f>
        <v>#NAME?</v>
      </c>
      <c r="AZ9" s="207" t="e">
        <f ca="1">_xll.BDP(TEXT(BloombergCode,)&amp;" equity",TEXT(BloombergItem,))</f>
        <v>#NAME?</v>
      </c>
      <c r="BA9" s="208" t="e">
        <f ca="1">_xll.BDP(TEXT(BloombergCode,)&amp;" equity",TEXT(BloombergItem,))</f>
        <v>#NAME?</v>
      </c>
      <c r="BB9" s="208" t="e">
        <f ca="1">_xll.BDP(TEXT(BloombergCode,)&amp;" equity",TEXT(BloombergItem,))</f>
        <v>#NAME?</v>
      </c>
      <c r="BC9" s="208" t="e">
        <f ca="1">_xll.BDP(TEXT(BloombergCode,)&amp;" equity",TEXT(BloombergItem,))</f>
        <v>#NAME?</v>
      </c>
      <c r="BD9" s="208"/>
      <c r="BE9" s="209" t="str">
        <f t="shared" si="23"/>
        <v>GGP US equity</v>
      </c>
      <c r="BF9" s="209"/>
      <c r="BH9" s="210"/>
      <c r="BI9" s="210" t="e">
        <f ca="1">_xll.BDP($BE9,BI$6,"BEST_FPERIOD_OVERRIDE",BI$5,"BEST_DATA_SOURCE_OVERRIDE","BST","BEST_CONSOLIDATED_OVERRIDE","C")</f>
        <v>#NAME?</v>
      </c>
      <c r="BJ9" s="210" t="e">
        <f ca="1">_xll.BDP($BE9,BJ$6,"BEST_FPERIOD_OVERRIDE",BJ$5,"BEST_DATA_SOURCE_OVERRIDE","BST","BEST_CONSOLIDATED_OVERRIDE","C")</f>
        <v>#NAME?</v>
      </c>
      <c r="BK9" s="210" t="e">
        <f ca="1">_xll.BDP($BE9,BK$6,"BEST_FPERIOD_OVERRIDE",BK$5,"BEST_DATA_SOURCE_OVERRIDE","BST","BEST_CONSOLIDATED_OVERRIDE","C")</f>
        <v>#NAME?</v>
      </c>
      <c r="BL9" s="210" t="e">
        <f ca="1">_xll.BDP($BE9,BL$6,"BEST_FPERIOD_OVERRIDE",BL$5,"BEST_DATA_SOURCE_OVERRIDE","BST","BEST_CONSOLIDATED_OVERRIDE","C")</f>
        <v>#NAME?</v>
      </c>
      <c r="BM9" s="210" t="e">
        <f ca="1">_xll.BDP($BE9,BM$6,"BEST_FPERIOD_OVERRIDE",BM$5,"BEST_DATA_SOURCE_OVERRIDE","BST","BEST_CONSOLIDATED_OVERRIDE","C")</f>
        <v>#NAME?</v>
      </c>
      <c r="BN9" s="210" t="e">
        <f ca="1">_xll.BDP($BE9,BN$6,"BEST_FPERIOD_OVERRIDE",BN$5,"BEST_DATA_SOURCE_OVERRIDE","BST","BEST_CONSOLIDATED_OVERRIDE","C")</f>
        <v>#NAME?</v>
      </c>
      <c r="BO9" s="210" t="e">
        <f ca="1">_xll.BDP($BE9,BO$6,"BEST_FPERIOD_OVERRIDE",BO$5,"BEST_DATA_SOURCE_OVERRIDE","BST","BEST_CONSOLIDATED_OVERRIDE","C")</f>
        <v>#NAME?</v>
      </c>
      <c r="BP9" s="210" t="e">
        <f ca="1">_xll.BDP($BE9,BP$6,"BEST_FPERIOD_OVERRIDE",BP$5,"BEST_DATA_SOURCE_OVERRIDE","BST","BEST_CONSOLIDATED_OVERRIDE","C")</f>
        <v>#NAME?</v>
      </c>
      <c r="BQ9" s="210" t="e">
        <f ca="1">_xll.BDP($BE9,BQ$6,"BEST_FPERIOD_OVERRIDE",BQ$5,"BEST_DATA_SOURCE_OVERRIDE","BST","BEST_CONSOLIDATED_OVERRIDE","C")</f>
        <v>#NAME?</v>
      </c>
      <c r="BR9" s="210" t="e">
        <f ca="1">_xll.BDP($BE9,BR$6,"BEST_FPERIOD_OVERRIDE",BR$5,"BEST_DATA_SOURCE_OVERRIDE","BST","BEST_CONSOLIDATED_OVERRIDE","C")</f>
        <v>#NAME?</v>
      </c>
      <c r="BS9" s="210" t="e">
        <f ca="1">_xll.BDP($BE9,BS$6,"BEST_FPERIOD_OVERRIDE",BS$5,"BEST_DATA_SOURCE_OVERRIDE","BST","BEST_CONSOLIDATED_OVERRIDE","C")</f>
        <v>#NAME?</v>
      </c>
      <c r="BT9" s="210" t="e">
        <f ca="1">_xll.BDP($BE9,BT$6,"BEST_FPERIOD_OVERRIDE",BT$5,"BEST_DATA_SOURCE_OVERRIDE","BST","BEST_CONSOLIDATED_OVERRIDE","C")</f>
        <v>#NAME?</v>
      </c>
      <c r="BV9" s="210" t="e">
        <f ca="1">_xll.BDP($BE9,BV$6,"BEST_FPERIOD_OVERRIDE",BV$5,"BEST_DATA_SOURCE_OVERRIDE","BST","BEST_CONSOLIDATED_OVERRIDE","C")</f>
        <v>#NAME?</v>
      </c>
      <c r="BW9" s="210" t="e">
        <f ca="1">_xll.BDP($BE9,BW$6,"BEST_FPERIOD_OVERRIDE",BW$5,"BEST_DATA_SOURCE_OVERRIDE","BST","BEST_CONSOLIDATED_OVERRIDE","C")</f>
        <v>#NAME?</v>
      </c>
      <c r="BX9" s="210" t="e">
        <f ca="1">_xll.BDP($BE9,BX$6,"BEST_FPERIOD_OVERRIDE",BX$5,"BEST_DATA_SOURCE_OVERRIDE","BST","BEST_CONSOLIDATED_OVERRIDE","C")</f>
        <v>#NAME?</v>
      </c>
      <c r="BY9" s="210" t="e">
        <f ca="1">_xll.BDP($BE9,BY$6,"BEST_FPERIOD_OVERRIDE",BY$5,"BEST_DATA_SOURCE_OVERRIDE","BST","BEST_CONSOLIDATED_OVERRIDE","C")</f>
        <v>#NAME?</v>
      </c>
      <c r="BZ9" s="210" t="e">
        <f ca="1">_xll.BDP($BE9,BZ$6,"BEST_FPERIOD_OVERRIDE",BZ$5,"BEST_DATA_SOURCE_OVERRIDE","BST","BEST_CONSOLIDATED_OVERRIDE","C")</f>
        <v>#NAME?</v>
      </c>
      <c r="CA9" s="210" t="e">
        <f ca="1">_xll.BDP($BE9,CA$6,"BEST_FPERIOD_OVERRIDE",CA$5,"BEST_DATA_SOURCE_OVERRIDE","BST","BEST_CONSOLIDATED_OVERRIDE","C")</f>
        <v>#NAME?</v>
      </c>
      <c r="CB9" s="210" t="e">
        <f ca="1">_xll.BDP($BE9,CB$6,"BEST_FPERIOD_OVERRIDE",CB$5,"BEST_DATA_SOURCE_OVERRIDE","BST","BEST_CONSOLIDATED_OVERRIDE","C")</f>
        <v>#NAME?</v>
      </c>
      <c r="CC9" s="210" t="e">
        <f ca="1">_xll.BDP($BE9,CC$6,"BEST_FPERIOD_OVERRIDE",CC$5,"BEST_DATA_SOURCE_OVERRIDE","BST","BEST_CONSOLIDATED_OVERRIDE","C")</f>
        <v>#NAME?</v>
      </c>
      <c r="CD9" s="210" t="e">
        <f ca="1">_xll.BDP($BE9,CD$6,"BEST_FPERIOD_OVERRIDE",CD$5,"BEST_DATA_SOURCE_OVERRIDE","BST","BEST_CONSOLIDATED_OVERRIDE","C")</f>
        <v>#NAME?</v>
      </c>
      <c r="CE9" s="210" t="e">
        <f ca="1">_xll.BDP($BE9,CE$6,"BEST_FPERIOD_OVERRIDE",CE$5,"BEST_DATA_SOURCE_OVERRIDE","BST","BEST_CONSOLIDATED_OVERRIDE","C")</f>
        <v>#NAME?</v>
      </c>
      <c r="CF9" s="210" t="e">
        <f ca="1">_xll.BDP($BE9,CF$6,"BEST_FPERIOD_OVERRIDE",CF$5,"BEST_DATA_SOURCE_OVERRIDE","BST","BEST_CONSOLIDATED_OVERRIDE","C")</f>
        <v>#NAME?</v>
      </c>
      <c r="CG9" s="210" t="e">
        <f ca="1">_xll.BDP($BE9,CG$6,"BEST_FPERIOD_OVERRIDE",CG$5,"BEST_DATA_SOURCE_OVERRIDE","BST","BEST_CONSOLIDATED_OVERRIDE","C")</f>
        <v>#NAME?</v>
      </c>
      <c r="CH9" s="210"/>
      <c r="CI9" s="212" t="e">
        <f ca="1">_xll.BDP($BE9,CI$6,"BEST_FPERIOD_OVERRIDE",CI$5,"BEST_DATA_SOURCE_OVERRIDE","BST","BEST_CONSOLIDATED_OVERRIDE","C")</f>
        <v>#NAME?</v>
      </c>
      <c r="CJ9" s="212" t="e">
        <f ca="1">_xll.BDP($BE9,CJ$6,"BEST_FPERIOD_OVERRIDE",CJ$5,"BEST_DATA_SOURCE_OVERRIDE","BST","BEST_CONSOLIDATED_OVERRIDE","C")</f>
        <v>#NAME?</v>
      </c>
      <c r="CK9" s="212" t="e">
        <f ca="1">_xll.BDP($BE9,CK$6,"BEST_FPERIOD_OVERRIDE",CK$5,"BEST_DATA_SOURCE_OVERRIDE","BST","BEST_CONSOLIDATED_OVERRIDE","C")</f>
        <v>#NAME?</v>
      </c>
      <c r="CL9" s="212" t="e">
        <f ca="1">_xll.BDP($BE9,CL$6,"BEST_FPERIOD_OVERRIDE",CL$5,"BEST_DATA_SOURCE_OVERRIDE","BST","BEST_CONSOLIDATED_OVERRIDE","C")</f>
        <v>#NAME?</v>
      </c>
      <c r="CM9" s="212" t="e">
        <f ca="1">_xll.BDP($BE9,CM$6,"BEST_FPERIOD_OVERRIDE",CM$5,"BEST_DATA_SOURCE_OVERRIDE","BST","BEST_CONSOLIDATED_OVERRIDE","C")</f>
        <v>#NAME?</v>
      </c>
      <c r="CN9" s="212" t="e">
        <f ca="1">_xll.BDP($BE9,CN$6,"BEST_FPERIOD_OVERRIDE",CN$5,"BEST_DATA_SOURCE_OVERRIDE","BST","BEST_CONSOLIDATED_OVERRIDE","C")</f>
        <v>#NAME?</v>
      </c>
      <c r="CO9" s="212" t="e">
        <f ca="1">_xll.BDP($BE9,CO$6,"BEST_FPERIOD_OVERRIDE",CO$5,"BEST_DATA_SOURCE_OVERRIDE","BST","BEST_CONSOLIDATED_OVERRIDE","C")</f>
        <v>#NAME?</v>
      </c>
      <c r="CP9" s="212" t="e">
        <f ca="1">_xll.BDP($BE9,CP$6,"BEST_FPERIOD_OVERRIDE",CP$5,"BEST_DATA_SOURCE_OVERRIDE","BST","BEST_CONSOLIDATED_OVERRIDE","C")</f>
        <v>#NAME?</v>
      </c>
      <c r="CQ9" s="212" t="e">
        <f ca="1">_xll.BDP($BE9,CQ$6,"BEST_FPERIOD_OVERRIDE",CQ$5,"BEST_DATA_SOURCE_OVERRIDE","BST","BEST_CONSOLIDATED_OVERRIDE","C")</f>
        <v>#NAME?</v>
      </c>
      <c r="CR9" s="212" t="e">
        <f ca="1">_xll.BDP($BE9,CR$6,"BEST_FPERIOD_OVERRIDE",CR$5,"BEST_DATA_SOURCE_OVERRIDE","BST","BEST_CONSOLIDATED_OVERRIDE","C")</f>
        <v>#NAME?</v>
      </c>
      <c r="CS9" s="212" t="e">
        <f ca="1">_xll.BDP($BE9,CS$6,"BEST_FPERIOD_OVERRIDE",CS$5,"BEST_DATA_SOURCE_OVERRIDE","BST","BEST_CONSOLIDATED_OVERRIDE","C")</f>
        <v>#NAME?</v>
      </c>
      <c r="CT9" s="212" t="e">
        <f ca="1">_xll.BDP($BE9,CT$6,"BEST_FPERIOD_OVERRIDE",CT$5,"BEST_DATA_SOURCE_OVERRIDE","BST","BEST_CONSOLIDATED_OVERRIDE","C")</f>
        <v>#NAME?</v>
      </c>
    </row>
    <row r="10" spans="1:98" s="211" customFormat="1" ht="16.5">
      <c r="A10" s="177" t="e">
        <f t="shared" ca="1" si="3"/>
        <v>#NAME?</v>
      </c>
      <c r="B10" s="178" t="e">
        <f ca="1">_xll.BDP(TEXT($F10,)&amp;" equity",TEXT($B$7,))</f>
        <v>#NAME?</v>
      </c>
      <c r="C10" s="178" t="s">
        <v>199</v>
      </c>
      <c r="D10" s="178" t="e">
        <f ca="1">_xll.BDP(TEXT($B10,)&amp;" Curncy",TEXT($D$7,))</f>
        <v>#NAME?</v>
      </c>
      <c r="E10" s="179" t="e">
        <f ca="1">_xll.BDP(TEXT(BloombergCode,)&amp;" equity","LONG_COMP_NAME")</f>
        <v>#NAME?</v>
      </c>
      <c r="F10" s="180" t="s">
        <v>209</v>
      </c>
      <c r="G10" s="213" t="e">
        <f t="shared" ca="1" si="4"/>
        <v>#NAME?</v>
      </c>
      <c r="H10" s="214" t="e">
        <f t="shared" ca="1" si="5"/>
        <v>#NAME?</v>
      </c>
      <c r="I10" s="183" t="e">
        <f t="shared" ca="1" si="6"/>
        <v>#NAME?</v>
      </c>
      <c r="J10" s="183" t="e">
        <f t="shared" ca="1" si="6"/>
        <v>#NAME?</v>
      </c>
      <c r="K10" s="183" t="e">
        <f t="shared" ca="1" si="6"/>
        <v>#NAME?</v>
      </c>
      <c r="L10" s="183" t="e">
        <f t="shared" ca="1" si="6"/>
        <v>#NAME?</v>
      </c>
      <c r="M10" s="183" t="e">
        <f t="shared" ca="1" si="6"/>
        <v>#NAME?</v>
      </c>
      <c r="N10" s="183" t="e">
        <f t="shared" ca="1" si="6"/>
        <v>#NAME?</v>
      </c>
      <c r="O10" s="183" t="e">
        <f t="shared" ca="1" si="6"/>
        <v>#NAME?</v>
      </c>
      <c r="P10" s="183" t="e">
        <f t="shared" ca="1" si="6"/>
        <v>#NAME?</v>
      </c>
      <c r="Q10" s="183" t="e">
        <f t="shared" ca="1" si="6"/>
        <v>#NAME?</v>
      </c>
      <c r="R10" s="183" t="e">
        <f t="shared" ca="1" si="6"/>
        <v>#NAME?</v>
      </c>
      <c r="S10" s="184" t="e">
        <f t="shared" ca="1" si="7"/>
        <v>#NAME?</v>
      </c>
      <c r="T10" s="183" t="e">
        <f t="shared" ca="1" si="8"/>
        <v>#NAME?</v>
      </c>
      <c r="U10" s="183" t="e">
        <f t="shared" ca="1" si="9"/>
        <v>#NAME?</v>
      </c>
      <c r="V10" s="183" t="e">
        <f t="shared" ca="1" si="10"/>
        <v>#NAME?</v>
      </c>
      <c r="W10" s="183" t="e">
        <f t="shared" ca="1" si="11"/>
        <v>#NAME?</v>
      </c>
      <c r="X10" s="183" t="e">
        <f t="shared" ca="1" si="12"/>
        <v>#NAME?</v>
      </c>
      <c r="Y10" s="183" t="e">
        <f t="shared" ca="1" si="13"/>
        <v>#NAME?</v>
      </c>
      <c r="Z10" s="183" t="e">
        <f t="shared" ca="1" si="14"/>
        <v>#NAME?</v>
      </c>
      <c r="AA10" s="183" t="e">
        <f t="shared" ca="1" si="15"/>
        <v>#NAME?</v>
      </c>
      <c r="AB10" s="183" t="e">
        <f t="shared" ca="1" si="15"/>
        <v>#NAME?</v>
      </c>
      <c r="AC10" s="185" t="e">
        <f t="shared" ca="1" si="24"/>
        <v>#NAME?</v>
      </c>
      <c r="AD10" s="186" t="e">
        <f t="shared" ca="1" si="16"/>
        <v>#NAME?</v>
      </c>
      <c r="AE10" s="186" t="e">
        <f t="shared" ca="1" si="17"/>
        <v>#NAME?</v>
      </c>
      <c r="AF10" s="186" t="e">
        <f t="shared" ca="1" si="18"/>
        <v>#NAME?</v>
      </c>
      <c r="AG10" s="186" t="e">
        <f t="shared" ca="1" si="19"/>
        <v>#NAME?</v>
      </c>
      <c r="AH10" s="186" t="e">
        <f t="shared" ca="1" si="20"/>
        <v>#NAME?</v>
      </c>
      <c r="AI10" s="186" t="e">
        <f t="shared" ca="1" si="21"/>
        <v>#NAME?</v>
      </c>
      <c r="AJ10" s="186" t="e">
        <f t="shared" ca="1" si="21"/>
        <v>#NAME?</v>
      </c>
      <c r="AK10" s="186" t="e">
        <f t="shared" ca="1" si="21"/>
        <v>#NAME?</v>
      </c>
      <c r="AL10" s="186" t="e">
        <f t="shared" ca="1" si="21"/>
        <v>#NAME?</v>
      </c>
      <c r="AM10" s="201"/>
      <c r="AN10" s="202" t="e">
        <f t="shared" ca="1" si="22"/>
        <v>#NAME?</v>
      </c>
      <c r="AO10" s="204"/>
      <c r="AP10" s="204"/>
      <c r="AQ10" s="204"/>
      <c r="AR10" s="205" t="e">
        <f ca="1">IF(LEFT(_xll.BDP(TEXT(BloombergCode,)&amp;" equity",TEXT(BloombergItem,)),1)="#",AV10,_xll.BDP(TEXT(BloombergCode,)&amp;" equity",TEXT(BloombergItem,)))</f>
        <v>#NAME?</v>
      </c>
      <c r="AS10" s="206" t="e">
        <f ca="1">IF(LEFT(_xll.BDP(AR10&amp;" Curncy",TEXT(BloombergItem,)),1)="#",AW10,_xll.BDP(AR10&amp;" Curncy",TEXT(BloombergItem,)))</f>
        <v>#NAME?</v>
      </c>
      <c r="AT10" s="206" t="e">
        <f ca="1">VLOOKUP('Global Properties'!$AR10,#REF!,2,0)</f>
        <v>#NAME?</v>
      </c>
      <c r="AU10" s="207" t="e">
        <f ca="1">_xll.BDP(AR10&amp;" Curncy",TEXT(BloombergItem,))</f>
        <v>#NAME?</v>
      </c>
      <c r="AV10" s="208" t="e">
        <f ca="1">_xll.BDP(TEXT(BloombergCode,)&amp;" equity",TEXT(BloombergItem,))</f>
        <v>#NAME?</v>
      </c>
      <c r="AW10" s="207" t="e">
        <f ca="1">_xll.BDP(AV10&amp;" Curncy",TEXT(BloombergItem,))</f>
        <v>#NAME?</v>
      </c>
      <c r="AX10" s="206" t="e">
        <f ca="1">VLOOKUP('Global Properties'!$AV10,#REF!,2,0)</f>
        <v>#NAME?</v>
      </c>
      <c r="AY10" s="215" t="e">
        <f ca="1">_xll.BDP(TEXT(BloombergCode,)&amp;" equity",TEXT(BloombergItem,))</f>
        <v>#NAME?</v>
      </c>
      <c r="AZ10" s="215" t="e">
        <f ca="1">_xll.BDP(TEXT(BloombergCode,)&amp;" equity",TEXT(BloombergItem,))</f>
        <v>#NAME?</v>
      </c>
      <c r="BA10" s="216" t="e">
        <f ca="1">_xll.BDP(TEXT(BloombergCode,)&amp;" equity",TEXT(BloombergItem,))</f>
        <v>#NAME?</v>
      </c>
      <c r="BB10" s="216" t="e">
        <f ca="1">_xll.BDP(TEXT(BloombergCode,)&amp;" equity",TEXT(BloombergItem,))</f>
        <v>#NAME?</v>
      </c>
      <c r="BC10" s="216" t="e">
        <f ca="1">_xll.BDP(TEXT(BloombergCode,)&amp;" equity",TEXT(BloombergItem,))</f>
        <v>#NAME?</v>
      </c>
      <c r="BD10" s="208"/>
      <c r="BE10" s="209" t="str">
        <f t="shared" si="23"/>
        <v>PLD US equity</v>
      </c>
      <c r="BF10" s="209"/>
      <c r="BH10" s="210"/>
      <c r="BI10" s="210" t="e">
        <f ca="1">_xll.BDP($BE10,BI$6,"BEST_FPERIOD_OVERRIDE",BI$5,"BEST_DATA_SOURCE_OVERRIDE","BST","BEST_CONSOLIDATED_OVERRIDE","C")</f>
        <v>#NAME?</v>
      </c>
      <c r="BJ10" s="210" t="e">
        <f ca="1">_xll.BDP($BE10,BJ$6,"BEST_FPERIOD_OVERRIDE",BJ$5,"BEST_DATA_SOURCE_OVERRIDE","BST","BEST_CONSOLIDATED_OVERRIDE","C")</f>
        <v>#NAME?</v>
      </c>
      <c r="BK10" s="210" t="e">
        <f ca="1">_xll.BDP($BE10,BK$6,"BEST_FPERIOD_OVERRIDE",BK$5,"BEST_DATA_SOURCE_OVERRIDE","BST","BEST_CONSOLIDATED_OVERRIDE","C")</f>
        <v>#NAME?</v>
      </c>
      <c r="BL10" s="210" t="e">
        <f ca="1">_xll.BDP($BE10,BL$6,"BEST_FPERIOD_OVERRIDE",BL$5,"BEST_DATA_SOURCE_OVERRIDE","BST","BEST_CONSOLIDATED_OVERRIDE","C")</f>
        <v>#NAME?</v>
      </c>
      <c r="BM10" s="210" t="e">
        <f ca="1">_xll.BDP($BE10,BM$6,"BEST_FPERIOD_OVERRIDE",BM$5,"BEST_DATA_SOURCE_OVERRIDE","BST","BEST_CONSOLIDATED_OVERRIDE","C")</f>
        <v>#NAME?</v>
      </c>
      <c r="BN10" s="210" t="e">
        <f ca="1">_xll.BDP($BE10,BN$6,"BEST_FPERIOD_OVERRIDE",BN$5,"BEST_DATA_SOURCE_OVERRIDE","BST","BEST_CONSOLIDATED_OVERRIDE","C")</f>
        <v>#NAME?</v>
      </c>
      <c r="BO10" s="210" t="e">
        <f ca="1">_xll.BDP($BE10,BO$6,"BEST_FPERIOD_OVERRIDE",BO$5,"BEST_DATA_SOURCE_OVERRIDE","BST","BEST_CONSOLIDATED_OVERRIDE","C")</f>
        <v>#NAME?</v>
      </c>
      <c r="BP10" s="210" t="e">
        <f ca="1">_xll.BDP($BE10,BP$6,"BEST_FPERIOD_OVERRIDE",BP$5,"BEST_DATA_SOURCE_OVERRIDE","BST","BEST_CONSOLIDATED_OVERRIDE","C")</f>
        <v>#NAME?</v>
      </c>
      <c r="BQ10" s="210" t="e">
        <f ca="1">_xll.BDP($BE10,BQ$6,"BEST_FPERIOD_OVERRIDE",BQ$5,"BEST_DATA_SOURCE_OVERRIDE","BST","BEST_CONSOLIDATED_OVERRIDE","C")</f>
        <v>#NAME?</v>
      </c>
      <c r="BR10" s="210" t="e">
        <f ca="1">_xll.BDP($BE10,BR$6,"BEST_FPERIOD_OVERRIDE",BR$5,"BEST_DATA_SOURCE_OVERRIDE","BST","BEST_CONSOLIDATED_OVERRIDE","C")</f>
        <v>#NAME?</v>
      </c>
      <c r="BS10" s="210" t="e">
        <f ca="1">_xll.BDP($BE10,BS$6,"BEST_FPERIOD_OVERRIDE",BS$5,"BEST_DATA_SOURCE_OVERRIDE","BST","BEST_CONSOLIDATED_OVERRIDE","C")</f>
        <v>#NAME?</v>
      </c>
      <c r="BT10" s="210" t="e">
        <f ca="1">_xll.BDP($BE10,BT$6,"BEST_FPERIOD_OVERRIDE",BT$5,"BEST_DATA_SOURCE_OVERRIDE","BST","BEST_CONSOLIDATED_OVERRIDE","C")</f>
        <v>#NAME?</v>
      </c>
      <c r="BV10" s="210" t="e">
        <f ca="1">_xll.BDP($BE10,BV$6,"BEST_FPERIOD_OVERRIDE",BV$5,"BEST_DATA_SOURCE_OVERRIDE","BST","BEST_CONSOLIDATED_OVERRIDE","C")</f>
        <v>#NAME?</v>
      </c>
      <c r="BW10" s="210" t="e">
        <f ca="1">_xll.BDP($BE10,BW$6,"BEST_FPERIOD_OVERRIDE",BW$5,"BEST_DATA_SOURCE_OVERRIDE","BST","BEST_CONSOLIDATED_OVERRIDE","C")</f>
        <v>#NAME?</v>
      </c>
      <c r="BX10" s="210" t="e">
        <f ca="1">_xll.BDP($BE10,BX$6,"BEST_FPERIOD_OVERRIDE",BX$5,"BEST_DATA_SOURCE_OVERRIDE","BST","BEST_CONSOLIDATED_OVERRIDE","C")</f>
        <v>#NAME?</v>
      </c>
      <c r="BY10" s="210" t="e">
        <f ca="1">_xll.BDP($BE10,BY$6,"BEST_FPERIOD_OVERRIDE",BY$5,"BEST_DATA_SOURCE_OVERRIDE","BST","BEST_CONSOLIDATED_OVERRIDE","C")</f>
        <v>#NAME?</v>
      </c>
      <c r="BZ10" s="210" t="e">
        <f ca="1">_xll.BDP($BE10,BZ$6,"BEST_FPERIOD_OVERRIDE",BZ$5,"BEST_DATA_SOURCE_OVERRIDE","BST","BEST_CONSOLIDATED_OVERRIDE","C")</f>
        <v>#NAME?</v>
      </c>
      <c r="CA10" s="210" t="e">
        <f ca="1">_xll.BDP($BE10,CA$6,"BEST_FPERIOD_OVERRIDE",CA$5,"BEST_DATA_SOURCE_OVERRIDE","BST","BEST_CONSOLIDATED_OVERRIDE","C")</f>
        <v>#NAME?</v>
      </c>
      <c r="CB10" s="210" t="e">
        <f ca="1">_xll.BDP($BE10,CB$6,"BEST_FPERIOD_OVERRIDE",CB$5,"BEST_DATA_SOURCE_OVERRIDE","BST","BEST_CONSOLIDATED_OVERRIDE","C")</f>
        <v>#NAME?</v>
      </c>
      <c r="CC10" s="210" t="e">
        <f ca="1">_xll.BDP($BE10,CC$6,"BEST_FPERIOD_OVERRIDE",CC$5,"BEST_DATA_SOURCE_OVERRIDE","BST","BEST_CONSOLIDATED_OVERRIDE","C")</f>
        <v>#NAME?</v>
      </c>
      <c r="CD10" s="210" t="e">
        <f ca="1">_xll.BDP($BE10,CD$6,"BEST_FPERIOD_OVERRIDE",CD$5,"BEST_DATA_SOURCE_OVERRIDE","BST","BEST_CONSOLIDATED_OVERRIDE","C")</f>
        <v>#NAME?</v>
      </c>
      <c r="CE10" s="210" t="e">
        <f ca="1">_xll.BDP($BE10,CE$6,"BEST_FPERIOD_OVERRIDE",CE$5,"BEST_DATA_SOURCE_OVERRIDE","BST","BEST_CONSOLIDATED_OVERRIDE","C")</f>
        <v>#NAME?</v>
      </c>
      <c r="CF10" s="210" t="e">
        <f ca="1">_xll.BDP($BE10,CF$6,"BEST_FPERIOD_OVERRIDE",CF$5,"BEST_DATA_SOURCE_OVERRIDE","BST","BEST_CONSOLIDATED_OVERRIDE","C")</f>
        <v>#NAME?</v>
      </c>
      <c r="CG10" s="210" t="e">
        <f ca="1">_xll.BDP($BE10,CG$6,"BEST_FPERIOD_OVERRIDE",CG$5,"BEST_DATA_SOURCE_OVERRIDE","BST","BEST_CONSOLIDATED_OVERRIDE","C")</f>
        <v>#NAME?</v>
      </c>
      <c r="CH10" s="210"/>
      <c r="CI10" s="212" t="e">
        <f ca="1">_xll.BDP($BE10,CI$6,"BEST_FPERIOD_OVERRIDE",CI$5,"BEST_DATA_SOURCE_OVERRIDE","BST","BEST_CONSOLIDATED_OVERRIDE","C")</f>
        <v>#NAME?</v>
      </c>
      <c r="CJ10" s="212" t="e">
        <f ca="1">_xll.BDP($BE10,CJ$6,"BEST_FPERIOD_OVERRIDE",CJ$5,"BEST_DATA_SOURCE_OVERRIDE","BST","BEST_CONSOLIDATED_OVERRIDE","C")</f>
        <v>#NAME?</v>
      </c>
      <c r="CK10" s="212" t="e">
        <f ca="1">_xll.BDP($BE10,CK$6,"BEST_FPERIOD_OVERRIDE",CK$5,"BEST_DATA_SOURCE_OVERRIDE","BST","BEST_CONSOLIDATED_OVERRIDE","C")</f>
        <v>#NAME?</v>
      </c>
      <c r="CL10" s="212" t="e">
        <f ca="1">_xll.BDP($BE10,CL$6,"BEST_FPERIOD_OVERRIDE",CL$5,"BEST_DATA_SOURCE_OVERRIDE","BST","BEST_CONSOLIDATED_OVERRIDE","C")</f>
        <v>#NAME?</v>
      </c>
      <c r="CM10" s="212" t="e">
        <f ca="1">_xll.BDP($BE10,CM$6,"BEST_FPERIOD_OVERRIDE",CM$5,"BEST_DATA_SOURCE_OVERRIDE","BST","BEST_CONSOLIDATED_OVERRIDE","C")</f>
        <v>#NAME?</v>
      </c>
      <c r="CN10" s="212" t="e">
        <f ca="1">_xll.BDP($BE10,CN$6,"BEST_FPERIOD_OVERRIDE",CN$5,"BEST_DATA_SOURCE_OVERRIDE","BST","BEST_CONSOLIDATED_OVERRIDE","C")</f>
        <v>#NAME?</v>
      </c>
      <c r="CO10" s="212" t="e">
        <f ca="1">_xll.BDP($BE10,CO$6,"BEST_FPERIOD_OVERRIDE",CO$5,"BEST_DATA_SOURCE_OVERRIDE","BST","BEST_CONSOLIDATED_OVERRIDE","C")</f>
        <v>#NAME?</v>
      </c>
      <c r="CP10" s="212" t="e">
        <f ca="1">_xll.BDP($BE10,CP$6,"BEST_FPERIOD_OVERRIDE",CP$5,"BEST_DATA_SOURCE_OVERRIDE","BST","BEST_CONSOLIDATED_OVERRIDE","C")</f>
        <v>#NAME?</v>
      </c>
      <c r="CQ10" s="212" t="e">
        <f ca="1">_xll.BDP($BE10,CQ$6,"BEST_FPERIOD_OVERRIDE",CQ$5,"BEST_DATA_SOURCE_OVERRIDE","BST","BEST_CONSOLIDATED_OVERRIDE","C")</f>
        <v>#NAME?</v>
      </c>
      <c r="CR10" s="212" t="e">
        <f ca="1">_xll.BDP($BE10,CR$6,"BEST_FPERIOD_OVERRIDE",CR$5,"BEST_DATA_SOURCE_OVERRIDE","BST","BEST_CONSOLIDATED_OVERRIDE","C")</f>
        <v>#NAME?</v>
      </c>
      <c r="CS10" s="212" t="e">
        <f ca="1">_xll.BDP($BE10,CS$6,"BEST_FPERIOD_OVERRIDE",CS$5,"BEST_DATA_SOURCE_OVERRIDE","BST","BEST_CONSOLIDATED_OVERRIDE","C")</f>
        <v>#NAME?</v>
      </c>
      <c r="CT10" s="212" t="e">
        <f ca="1">_xll.BDP($BE10,CT$6,"BEST_FPERIOD_OVERRIDE",CT$5,"BEST_DATA_SOURCE_OVERRIDE","BST","BEST_CONSOLIDATED_OVERRIDE","C")</f>
        <v>#NAME?</v>
      </c>
    </row>
    <row r="11" spans="1:98" s="178" customFormat="1" ht="16.5">
      <c r="A11" s="177" t="e">
        <f t="shared" ca="1" si="3"/>
        <v>#NAME?</v>
      </c>
      <c r="B11" s="178" t="e">
        <f ca="1">_xll.BDP(TEXT($F11,)&amp;" equity",TEXT($B$7,))</f>
        <v>#NAME?</v>
      </c>
      <c r="C11" s="178" t="s">
        <v>199</v>
      </c>
      <c r="D11" s="178" t="e">
        <f ca="1">_xll.BDP(TEXT($B11,)&amp;" Curncy",TEXT($D$7,))</f>
        <v>#NAME?</v>
      </c>
      <c r="E11" s="193" t="e">
        <f ca="1">_xll.BDP(TEXT(BloombergCode,)&amp;" equity","LONG_COMP_NAME")</f>
        <v>#NAME?</v>
      </c>
      <c r="F11" s="194" t="s">
        <v>203</v>
      </c>
      <c r="G11" s="217" t="e">
        <f t="shared" ca="1" si="4"/>
        <v>#NAME?</v>
      </c>
      <c r="H11" s="218" t="e">
        <f t="shared" ca="1" si="5"/>
        <v>#NAME?</v>
      </c>
      <c r="I11" s="197" t="e">
        <f t="shared" ca="1" si="6"/>
        <v>#NAME?</v>
      </c>
      <c r="J11" s="197" t="e">
        <f t="shared" ca="1" si="6"/>
        <v>#NAME?</v>
      </c>
      <c r="K11" s="197" t="e">
        <f t="shared" ca="1" si="6"/>
        <v>#NAME?</v>
      </c>
      <c r="L11" s="197" t="e">
        <f t="shared" ca="1" si="6"/>
        <v>#NAME?</v>
      </c>
      <c r="M11" s="197" t="e">
        <f t="shared" ca="1" si="6"/>
        <v>#NAME?</v>
      </c>
      <c r="N11" s="197" t="e">
        <f t="shared" ca="1" si="6"/>
        <v>#NAME?</v>
      </c>
      <c r="O11" s="197" t="e">
        <f t="shared" ca="1" si="6"/>
        <v>#NAME?</v>
      </c>
      <c r="P11" s="197" t="e">
        <f t="shared" ca="1" si="6"/>
        <v>#NAME?</v>
      </c>
      <c r="Q11" s="197" t="e">
        <f t="shared" ca="1" si="6"/>
        <v>#NAME?</v>
      </c>
      <c r="R11" s="197" t="e">
        <f t="shared" ca="1" si="6"/>
        <v>#NAME?</v>
      </c>
      <c r="S11" s="198" t="e">
        <f t="shared" ca="1" si="7"/>
        <v>#NAME?</v>
      </c>
      <c r="T11" s="197" t="e">
        <f t="shared" ca="1" si="8"/>
        <v>#NAME?</v>
      </c>
      <c r="U11" s="197" t="e">
        <f t="shared" ca="1" si="9"/>
        <v>#NAME?</v>
      </c>
      <c r="V11" s="197" t="e">
        <f t="shared" ca="1" si="10"/>
        <v>#NAME?</v>
      </c>
      <c r="W11" s="197" t="e">
        <f t="shared" ca="1" si="11"/>
        <v>#NAME?</v>
      </c>
      <c r="X11" s="197" t="e">
        <f t="shared" ca="1" si="12"/>
        <v>#NAME?</v>
      </c>
      <c r="Y11" s="197" t="e">
        <f t="shared" ca="1" si="13"/>
        <v>#NAME?</v>
      </c>
      <c r="Z11" s="197" t="e">
        <f t="shared" ca="1" si="14"/>
        <v>#NAME?</v>
      </c>
      <c r="AA11" s="197" t="e">
        <f t="shared" ca="1" si="15"/>
        <v>#NAME?</v>
      </c>
      <c r="AB11" s="197" t="e">
        <f t="shared" ca="1" si="15"/>
        <v>#NAME?</v>
      </c>
      <c r="AC11" s="199" t="e">
        <f t="shared" ca="1" si="24"/>
        <v>#NAME?</v>
      </c>
      <c r="AD11" s="200" t="e">
        <f t="shared" ca="1" si="16"/>
        <v>#NAME?</v>
      </c>
      <c r="AE11" s="200" t="e">
        <f t="shared" ca="1" si="17"/>
        <v>#NAME?</v>
      </c>
      <c r="AF11" s="200" t="e">
        <f t="shared" ca="1" si="18"/>
        <v>#NAME?</v>
      </c>
      <c r="AG11" s="200" t="e">
        <f t="shared" ca="1" si="19"/>
        <v>#NAME?</v>
      </c>
      <c r="AH11" s="200" t="e">
        <f t="shared" ca="1" si="20"/>
        <v>#NAME?</v>
      </c>
      <c r="AI11" s="200" t="e">
        <f t="shared" ca="1" si="21"/>
        <v>#NAME?</v>
      </c>
      <c r="AJ11" s="200" t="e">
        <f t="shared" ca="1" si="21"/>
        <v>#NAME?</v>
      </c>
      <c r="AK11" s="200" t="e">
        <f t="shared" ca="1" si="21"/>
        <v>#NAME?</v>
      </c>
      <c r="AL11" s="200" t="e">
        <f t="shared" ca="1" si="21"/>
        <v>#NAME?</v>
      </c>
      <c r="AM11" s="175"/>
      <c r="AN11" s="148" t="e">
        <f t="shared" ca="1" si="22"/>
        <v>#NAME?</v>
      </c>
      <c r="AO11" s="136"/>
      <c r="AP11" s="187"/>
      <c r="AQ11" s="136"/>
      <c r="AR11" s="188" t="e">
        <f ca="1">IF(LEFT(_xll.BDP(TEXT(BloombergCode,)&amp;" equity",TEXT(BloombergItem,)),1)="#",AV11,_xll.BDP(TEXT(BloombergCode,)&amp;" equity",TEXT(BloombergItem,)))</f>
        <v>#NAME?</v>
      </c>
      <c r="AS11" s="138" t="e">
        <f ca="1">IF(LEFT(_xll.BDP(AR11&amp;" Curncy",TEXT(BloombergItem,)),1)="#",AW11,_xll.BDP(AR11&amp;" Curncy",TEXT(BloombergItem,)))</f>
        <v>#NAME?</v>
      </c>
      <c r="AT11" s="138" t="e">
        <f ca="1">VLOOKUP('Global Properties'!$AR11,#REF!,2,0)</f>
        <v>#NAME?</v>
      </c>
      <c r="AU11" s="189" t="e">
        <f ca="1">_xll.BDP(AR11&amp;" Curncy",TEXT(BloombergItem,))</f>
        <v>#NAME?</v>
      </c>
      <c r="AV11" s="190" t="e">
        <f ca="1">_xll.BDP(TEXT(BloombergCode,)&amp;" equity",TEXT(BloombergItem,))</f>
        <v>#NAME?</v>
      </c>
      <c r="AW11" s="189" t="e">
        <f ca="1">_xll.BDP(AV11&amp;" Curncy",TEXT(BloombergItem,))</f>
        <v>#NAME?</v>
      </c>
      <c r="AX11" s="138" t="e">
        <f ca="1">VLOOKUP('Global Properties'!$AV11,#REF!,2,0)</f>
        <v>#NAME?</v>
      </c>
      <c r="AY11" s="219" t="e">
        <f ca="1">_xll.BDP(TEXT(BloombergCode,)&amp;" equity",TEXT(BloombergItem,))</f>
        <v>#NAME?</v>
      </c>
      <c r="AZ11" s="219" t="e">
        <f ca="1">_xll.BDP(TEXT(BloombergCode,)&amp;" equity",TEXT(BloombergItem,))</f>
        <v>#NAME?</v>
      </c>
      <c r="BA11" s="220" t="e">
        <f ca="1">_xll.BDP(TEXT(BloombergCode,)&amp;" equity",TEXT(BloombergItem,))</f>
        <v>#NAME?</v>
      </c>
      <c r="BB11" s="220" t="e">
        <f ca="1">_xll.BDP(TEXT(BloombergCode,)&amp;" equity",TEXT(BloombergItem,))</f>
        <v>#NAME?</v>
      </c>
      <c r="BC11" s="220" t="e">
        <f ca="1">_xll.BDP(TEXT(BloombergCode,)&amp;" equity",TEXT(BloombergItem,))</f>
        <v>#NAME?</v>
      </c>
      <c r="BD11" s="190"/>
      <c r="BE11" s="139" t="str">
        <f t="shared" si="23"/>
        <v>MAC US equity</v>
      </c>
      <c r="BF11" s="139"/>
      <c r="BH11" s="191"/>
      <c r="BI11" s="191" t="e">
        <f ca="1">_xll.BDP($BE11,BI$6,"BEST_FPERIOD_OVERRIDE",BI$5,"BEST_DATA_SOURCE_OVERRIDE","BST","BEST_CONSOLIDATED_OVERRIDE","C")</f>
        <v>#NAME?</v>
      </c>
      <c r="BJ11" s="191" t="e">
        <f ca="1">_xll.BDP($BE11,BJ$6,"BEST_FPERIOD_OVERRIDE",BJ$5,"BEST_DATA_SOURCE_OVERRIDE","BST","BEST_CONSOLIDATED_OVERRIDE","C")</f>
        <v>#NAME?</v>
      </c>
      <c r="BK11" s="191" t="e">
        <f ca="1">_xll.BDP($BE11,BK$6,"BEST_FPERIOD_OVERRIDE",BK$5,"BEST_DATA_SOURCE_OVERRIDE","BST","BEST_CONSOLIDATED_OVERRIDE","C")</f>
        <v>#NAME?</v>
      </c>
      <c r="BL11" s="191" t="e">
        <f ca="1">_xll.BDP($BE11,BL$6,"BEST_FPERIOD_OVERRIDE",BL$5,"BEST_DATA_SOURCE_OVERRIDE","BST","BEST_CONSOLIDATED_OVERRIDE","C")</f>
        <v>#NAME?</v>
      </c>
      <c r="BM11" s="191" t="e">
        <f ca="1">_xll.BDP($BE11,BM$6,"BEST_FPERIOD_OVERRIDE",BM$5,"BEST_DATA_SOURCE_OVERRIDE","BST","BEST_CONSOLIDATED_OVERRIDE","C")</f>
        <v>#NAME?</v>
      </c>
      <c r="BN11" s="191" t="e">
        <f ca="1">_xll.BDP($BE11,BN$6,"BEST_FPERIOD_OVERRIDE",BN$5,"BEST_DATA_SOURCE_OVERRIDE","BST","BEST_CONSOLIDATED_OVERRIDE","C")</f>
        <v>#NAME?</v>
      </c>
      <c r="BO11" s="191" t="e">
        <f ca="1">_xll.BDP($BE11,BO$6,"BEST_FPERIOD_OVERRIDE",BO$5,"BEST_DATA_SOURCE_OVERRIDE","BST","BEST_CONSOLIDATED_OVERRIDE","C")</f>
        <v>#NAME?</v>
      </c>
      <c r="BP11" s="191" t="e">
        <f ca="1">_xll.BDP($BE11,BP$6,"BEST_FPERIOD_OVERRIDE",BP$5,"BEST_DATA_SOURCE_OVERRIDE","BST","BEST_CONSOLIDATED_OVERRIDE","C")</f>
        <v>#NAME?</v>
      </c>
      <c r="BQ11" s="191" t="e">
        <f ca="1">_xll.BDP($BE11,BQ$6,"BEST_FPERIOD_OVERRIDE",BQ$5,"BEST_DATA_SOURCE_OVERRIDE","BST","BEST_CONSOLIDATED_OVERRIDE","C")</f>
        <v>#NAME?</v>
      </c>
      <c r="BR11" s="191" t="e">
        <f ca="1">_xll.BDP($BE11,BR$6,"BEST_FPERIOD_OVERRIDE",BR$5,"BEST_DATA_SOURCE_OVERRIDE","BST","BEST_CONSOLIDATED_OVERRIDE","C")</f>
        <v>#NAME?</v>
      </c>
      <c r="BS11" s="191" t="e">
        <f ca="1">_xll.BDP($BE11,BS$6,"BEST_FPERIOD_OVERRIDE",BS$5,"BEST_DATA_SOURCE_OVERRIDE","BST","BEST_CONSOLIDATED_OVERRIDE","C")</f>
        <v>#NAME?</v>
      </c>
      <c r="BT11" s="191" t="e">
        <f ca="1">_xll.BDP($BE11,BT$6,"BEST_FPERIOD_OVERRIDE",BT$5,"BEST_DATA_SOURCE_OVERRIDE","BST","BEST_CONSOLIDATED_OVERRIDE","C")</f>
        <v>#NAME?</v>
      </c>
      <c r="BV11" s="191" t="e">
        <f ca="1">_xll.BDP($BE11,BV$6,"BEST_FPERIOD_OVERRIDE",BV$5,"BEST_DATA_SOURCE_OVERRIDE","BST","BEST_CONSOLIDATED_OVERRIDE","C")</f>
        <v>#NAME?</v>
      </c>
      <c r="BW11" s="191" t="e">
        <f ca="1">_xll.BDP($BE11,BW$6,"BEST_FPERIOD_OVERRIDE",BW$5,"BEST_DATA_SOURCE_OVERRIDE","BST","BEST_CONSOLIDATED_OVERRIDE","C")</f>
        <v>#NAME?</v>
      </c>
      <c r="BX11" s="191" t="e">
        <f ca="1">_xll.BDP($BE11,BX$6,"BEST_FPERIOD_OVERRIDE",BX$5,"BEST_DATA_SOURCE_OVERRIDE","BST","BEST_CONSOLIDATED_OVERRIDE","C")</f>
        <v>#NAME?</v>
      </c>
      <c r="BY11" s="191" t="e">
        <f ca="1">_xll.BDP($BE11,BY$6,"BEST_FPERIOD_OVERRIDE",BY$5,"BEST_DATA_SOURCE_OVERRIDE","BST","BEST_CONSOLIDATED_OVERRIDE","C")</f>
        <v>#NAME?</v>
      </c>
      <c r="BZ11" s="191" t="e">
        <f ca="1">_xll.BDP($BE11,BZ$6,"BEST_FPERIOD_OVERRIDE",BZ$5,"BEST_DATA_SOURCE_OVERRIDE","BST","BEST_CONSOLIDATED_OVERRIDE","C")</f>
        <v>#NAME?</v>
      </c>
      <c r="CA11" s="191" t="e">
        <f ca="1">_xll.BDP($BE11,CA$6,"BEST_FPERIOD_OVERRIDE",CA$5,"BEST_DATA_SOURCE_OVERRIDE","BST","BEST_CONSOLIDATED_OVERRIDE","C")</f>
        <v>#NAME?</v>
      </c>
      <c r="CB11" s="191" t="e">
        <f ca="1">_xll.BDP($BE11,CB$6,"BEST_FPERIOD_OVERRIDE",CB$5,"BEST_DATA_SOURCE_OVERRIDE","BST","BEST_CONSOLIDATED_OVERRIDE","C")</f>
        <v>#NAME?</v>
      </c>
      <c r="CC11" s="191" t="e">
        <f ca="1">_xll.BDP($BE11,CC$6,"BEST_FPERIOD_OVERRIDE",CC$5,"BEST_DATA_SOURCE_OVERRIDE","BST","BEST_CONSOLIDATED_OVERRIDE","C")</f>
        <v>#NAME?</v>
      </c>
      <c r="CD11" s="191" t="e">
        <f ca="1">_xll.BDP($BE11,CD$6,"BEST_FPERIOD_OVERRIDE",CD$5,"BEST_DATA_SOURCE_OVERRIDE","BST","BEST_CONSOLIDATED_OVERRIDE","C")</f>
        <v>#NAME?</v>
      </c>
      <c r="CE11" s="191" t="e">
        <f ca="1">_xll.BDP($BE11,CE$6,"BEST_FPERIOD_OVERRIDE",CE$5,"BEST_DATA_SOURCE_OVERRIDE","BST","BEST_CONSOLIDATED_OVERRIDE","C")</f>
        <v>#NAME?</v>
      </c>
      <c r="CF11" s="191" t="e">
        <f ca="1">_xll.BDP($BE11,CF$6,"BEST_FPERIOD_OVERRIDE",CF$5,"BEST_DATA_SOURCE_OVERRIDE","BST","BEST_CONSOLIDATED_OVERRIDE","C")</f>
        <v>#NAME?</v>
      </c>
      <c r="CG11" s="191" t="e">
        <f ca="1">_xll.BDP($BE11,CG$6,"BEST_FPERIOD_OVERRIDE",CG$5,"BEST_DATA_SOURCE_OVERRIDE","BST","BEST_CONSOLIDATED_OVERRIDE","C")</f>
        <v>#NAME?</v>
      </c>
      <c r="CH11" s="191"/>
      <c r="CI11" s="192" t="e">
        <f ca="1">_xll.BDP($BE11,CI$6,"BEST_FPERIOD_OVERRIDE",CI$5,"BEST_DATA_SOURCE_OVERRIDE","BST","BEST_CONSOLIDATED_OVERRIDE","C")</f>
        <v>#NAME?</v>
      </c>
      <c r="CJ11" s="192" t="e">
        <f ca="1">_xll.BDP($BE11,CJ$6,"BEST_FPERIOD_OVERRIDE",CJ$5,"BEST_DATA_SOURCE_OVERRIDE","BST","BEST_CONSOLIDATED_OVERRIDE","C")</f>
        <v>#NAME?</v>
      </c>
      <c r="CK11" s="192" t="e">
        <f ca="1">_xll.BDP($BE11,CK$6,"BEST_FPERIOD_OVERRIDE",CK$5,"BEST_DATA_SOURCE_OVERRIDE","BST","BEST_CONSOLIDATED_OVERRIDE","C")</f>
        <v>#NAME?</v>
      </c>
      <c r="CL11" s="192" t="e">
        <f ca="1">_xll.BDP($BE11,CL$6,"BEST_FPERIOD_OVERRIDE",CL$5,"BEST_DATA_SOURCE_OVERRIDE","BST","BEST_CONSOLIDATED_OVERRIDE","C")</f>
        <v>#NAME?</v>
      </c>
      <c r="CM11" s="192" t="e">
        <f ca="1">_xll.BDP($BE11,CM$6,"BEST_FPERIOD_OVERRIDE",CM$5,"BEST_DATA_SOURCE_OVERRIDE","BST","BEST_CONSOLIDATED_OVERRIDE","C")</f>
        <v>#NAME?</v>
      </c>
      <c r="CN11" s="192" t="e">
        <f ca="1">_xll.BDP($BE11,CN$6,"BEST_FPERIOD_OVERRIDE",CN$5,"BEST_DATA_SOURCE_OVERRIDE","BST","BEST_CONSOLIDATED_OVERRIDE","C")</f>
        <v>#NAME?</v>
      </c>
      <c r="CO11" s="192" t="e">
        <f ca="1">_xll.BDP($BE11,CO$6,"BEST_FPERIOD_OVERRIDE",CO$5,"BEST_DATA_SOURCE_OVERRIDE","BST","BEST_CONSOLIDATED_OVERRIDE","C")</f>
        <v>#NAME?</v>
      </c>
      <c r="CP11" s="192" t="e">
        <f ca="1">_xll.BDP($BE11,CP$6,"BEST_FPERIOD_OVERRIDE",CP$5,"BEST_DATA_SOURCE_OVERRIDE","BST","BEST_CONSOLIDATED_OVERRIDE","C")</f>
        <v>#NAME?</v>
      </c>
      <c r="CQ11" s="192" t="e">
        <f ca="1">_xll.BDP($BE11,CQ$6,"BEST_FPERIOD_OVERRIDE",CQ$5,"BEST_DATA_SOURCE_OVERRIDE","BST","BEST_CONSOLIDATED_OVERRIDE","C")</f>
        <v>#NAME?</v>
      </c>
      <c r="CR11" s="192" t="e">
        <f ca="1">_xll.BDP($BE11,CR$6,"BEST_FPERIOD_OVERRIDE",CR$5,"BEST_DATA_SOURCE_OVERRIDE","BST","BEST_CONSOLIDATED_OVERRIDE","C")</f>
        <v>#NAME?</v>
      </c>
      <c r="CS11" s="192" t="e">
        <f ca="1">_xll.BDP($BE11,CS$6,"BEST_FPERIOD_OVERRIDE",CS$5,"BEST_DATA_SOURCE_OVERRIDE","BST","BEST_CONSOLIDATED_OVERRIDE","C")</f>
        <v>#NAME?</v>
      </c>
      <c r="CT11" s="192" t="e">
        <f ca="1">_xll.BDP($BE11,CT$6,"BEST_FPERIOD_OVERRIDE",CT$5,"BEST_DATA_SOURCE_OVERRIDE","BST","BEST_CONSOLIDATED_OVERRIDE","C")</f>
        <v>#NAME?</v>
      </c>
    </row>
    <row r="12" spans="1:98" s="211" customFormat="1" ht="16.5">
      <c r="A12" s="177" t="e">
        <f t="shared" ca="1" si="3"/>
        <v>#NAME?</v>
      </c>
      <c r="B12" s="178" t="e">
        <f ca="1">_xll.BDP(TEXT($F12,)&amp;" equity",TEXT($B$7,))</f>
        <v>#NAME?</v>
      </c>
      <c r="C12" s="178" t="s">
        <v>199</v>
      </c>
      <c r="D12" s="178" t="e">
        <f ca="1">_xll.BDP(TEXT($B12,)&amp;" Curncy",TEXT($D$7,))</f>
        <v>#NAME?</v>
      </c>
      <c r="E12" s="179" t="e">
        <f ca="1">_xll.BDP(TEXT(BloombergCode,)&amp;" equity","LONG_COMP_NAME")</f>
        <v>#NAME?</v>
      </c>
      <c r="F12" s="180" t="s">
        <v>207</v>
      </c>
      <c r="G12" s="213" t="e">
        <f t="shared" ca="1" si="4"/>
        <v>#NAME?</v>
      </c>
      <c r="H12" s="214" t="e">
        <f t="shared" ca="1" si="5"/>
        <v>#NAME?</v>
      </c>
      <c r="I12" s="183" t="e">
        <f t="shared" ca="1" si="6"/>
        <v>#NAME?</v>
      </c>
      <c r="J12" s="183" t="e">
        <f t="shared" ca="1" si="6"/>
        <v>#NAME?</v>
      </c>
      <c r="K12" s="183" t="e">
        <f t="shared" ca="1" si="6"/>
        <v>#NAME?</v>
      </c>
      <c r="L12" s="183" t="e">
        <f t="shared" ca="1" si="6"/>
        <v>#NAME?</v>
      </c>
      <c r="M12" s="183" t="e">
        <f t="shared" ca="1" si="6"/>
        <v>#NAME?</v>
      </c>
      <c r="N12" s="183" t="e">
        <f t="shared" ca="1" si="6"/>
        <v>#NAME?</v>
      </c>
      <c r="O12" s="183" t="e">
        <f t="shared" ca="1" si="6"/>
        <v>#NAME?</v>
      </c>
      <c r="P12" s="183" t="e">
        <f t="shared" ca="1" si="6"/>
        <v>#NAME?</v>
      </c>
      <c r="Q12" s="183" t="e">
        <f t="shared" ca="1" si="6"/>
        <v>#NAME?</v>
      </c>
      <c r="R12" s="183" t="e">
        <f t="shared" ca="1" si="6"/>
        <v>#NAME?</v>
      </c>
      <c r="S12" s="184" t="e">
        <f t="shared" ca="1" si="7"/>
        <v>#NAME?</v>
      </c>
      <c r="T12" s="183" t="e">
        <f t="shared" ca="1" si="8"/>
        <v>#NAME?</v>
      </c>
      <c r="U12" s="183" t="e">
        <f t="shared" ca="1" si="9"/>
        <v>#NAME?</v>
      </c>
      <c r="V12" s="183" t="e">
        <f t="shared" ca="1" si="10"/>
        <v>#NAME?</v>
      </c>
      <c r="W12" s="183" t="e">
        <f t="shared" ca="1" si="11"/>
        <v>#NAME?</v>
      </c>
      <c r="X12" s="183" t="e">
        <f t="shared" ca="1" si="12"/>
        <v>#NAME?</v>
      </c>
      <c r="Y12" s="183" t="e">
        <f t="shared" ca="1" si="13"/>
        <v>#NAME?</v>
      </c>
      <c r="Z12" s="183" t="e">
        <f t="shared" ca="1" si="14"/>
        <v>#NAME?</v>
      </c>
      <c r="AA12" s="183" t="e">
        <f t="shared" ca="1" si="15"/>
        <v>#NAME?</v>
      </c>
      <c r="AB12" s="183" t="e">
        <f t="shared" ca="1" si="15"/>
        <v>#NAME?</v>
      </c>
      <c r="AC12" s="185" t="e">
        <f t="shared" ca="1" si="24"/>
        <v>#NAME?</v>
      </c>
      <c r="AD12" s="186" t="e">
        <f t="shared" ca="1" si="16"/>
        <v>#NAME?</v>
      </c>
      <c r="AE12" s="186" t="e">
        <f t="shared" ca="1" si="17"/>
        <v>#NAME?</v>
      </c>
      <c r="AF12" s="186" t="e">
        <f t="shared" ca="1" si="18"/>
        <v>#NAME?</v>
      </c>
      <c r="AG12" s="186" t="e">
        <f t="shared" ca="1" si="19"/>
        <v>#NAME?</v>
      </c>
      <c r="AH12" s="186" t="e">
        <f t="shared" ca="1" si="20"/>
        <v>#NAME?</v>
      </c>
      <c r="AI12" s="186" t="e">
        <f t="shared" ca="1" si="21"/>
        <v>#NAME?</v>
      </c>
      <c r="AJ12" s="186" t="e">
        <f t="shared" ca="1" si="21"/>
        <v>#NAME?</v>
      </c>
      <c r="AK12" s="186" t="e">
        <f t="shared" ca="1" si="21"/>
        <v>#NAME?</v>
      </c>
      <c r="AL12" s="186" t="e">
        <f t="shared" ca="1" si="21"/>
        <v>#NAME?</v>
      </c>
      <c r="AM12" s="201"/>
      <c r="AN12" s="202" t="e">
        <f t="shared" ca="1" si="22"/>
        <v>#NAME?</v>
      </c>
      <c r="AO12" s="204"/>
      <c r="AP12" s="204"/>
      <c r="AQ12" s="204"/>
      <c r="AR12" s="205" t="e">
        <f ca="1">IF(LEFT(_xll.BDP(TEXT(BloombergCode,)&amp;" equity",TEXT(BloombergItem,)),1)="#",AV12,_xll.BDP(TEXT(BloombergCode,)&amp;" equity",TEXT(BloombergItem,)))</f>
        <v>#NAME?</v>
      </c>
      <c r="AS12" s="206" t="e">
        <f ca="1">IF(LEFT(_xll.BDP(AR12&amp;" Curncy",TEXT(BloombergItem,)),1)="#",AW12,_xll.BDP(AR12&amp;" Curncy",TEXT(BloombergItem,)))</f>
        <v>#NAME?</v>
      </c>
      <c r="AT12" s="206" t="e">
        <f ca="1">VLOOKUP('Global Properties'!$AR12,#REF!,2,0)</f>
        <v>#NAME?</v>
      </c>
      <c r="AU12" s="207" t="e">
        <f ca="1">_xll.BDP(AR12&amp;" Curncy",TEXT(BloombergItem,))</f>
        <v>#NAME?</v>
      </c>
      <c r="AV12" s="208" t="e">
        <f ca="1">_xll.BDP(TEXT(BloombergCode,)&amp;" equity",TEXT(BloombergItem,))</f>
        <v>#NAME?</v>
      </c>
      <c r="AW12" s="207" t="e">
        <f ca="1">_xll.BDP(AV12&amp;" Curncy",TEXT(BloombergItem,))</f>
        <v>#NAME?</v>
      </c>
      <c r="AX12" s="206" t="e">
        <f ca="1">VLOOKUP('Global Properties'!$AV12,#REF!,2,0)</f>
        <v>#NAME?</v>
      </c>
      <c r="AY12" s="215" t="e">
        <f ca="1">_xll.BDP(TEXT(BloombergCode,)&amp;" equity",TEXT(BloombergItem,))</f>
        <v>#NAME?</v>
      </c>
      <c r="AZ12" s="215" t="e">
        <f ca="1">_xll.BDP(TEXT(BloombergCode,)&amp;" equity",TEXT(BloombergItem,))</f>
        <v>#NAME?</v>
      </c>
      <c r="BA12" s="216" t="e">
        <f ca="1">_xll.BDP(TEXT(BloombergCode,)&amp;" equity",TEXT(BloombergItem,))</f>
        <v>#NAME?</v>
      </c>
      <c r="BB12" s="216" t="e">
        <f ca="1">_xll.BDP(TEXT(BloombergCode,)&amp;" equity",TEXT(BloombergItem,))</f>
        <v>#NAME?</v>
      </c>
      <c r="BC12" s="216" t="e">
        <f ca="1">_xll.BDP(TEXT(BloombergCode,)&amp;" equity",TEXT(BloombergItem,))</f>
        <v>#NAME?</v>
      </c>
      <c r="BD12" s="208"/>
      <c r="BE12" s="209" t="str">
        <f t="shared" si="23"/>
        <v>BXP US equity</v>
      </c>
      <c r="BF12" s="209"/>
      <c r="BH12" s="210"/>
      <c r="BI12" s="210" t="e">
        <f ca="1">_xll.BDP($BE12,BI$6,"BEST_FPERIOD_OVERRIDE",BI$5,"BEST_DATA_SOURCE_OVERRIDE","BST","BEST_CONSOLIDATED_OVERRIDE","C")</f>
        <v>#NAME?</v>
      </c>
      <c r="BJ12" s="210" t="e">
        <f ca="1">_xll.BDP($BE12,BJ$6,"BEST_FPERIOD_OVERRIDE",BJ$5,"BEST_DATA_SOURCE_OVERRIDE","BST","BEST_CONSOLIDATED_OVERRIDE","C")</f>
        <v>#NAME?</v>
      </c>
      <c r="BK12" s="210" t="e">
        <f ca="1">_xll.BDP($BE12,BK$6,"BEST_FPERIOD_OVERRIDE",BK$5,"BEST_DATA_SOURCE_OVERRIDE","BST","BEST_CONSOLIDATED_OVERRIDE","C")</f>
        <v>#NAME?</v>
      </c>
      <c r="BL12" s="210" t="e">
        <f ca="1">_xll.BDP($BE12,BL$6,"BEST_FPERIOD_OVERRIDE",BL$5,"BEST_DATA_SOURCE_OVERRIDE","BST","BEST_CONSOLIDATED_OVERRIDE","C")</f>
        <v>#NAME?</v>
      </c>
      <c r="BM12" s="210" t="e">
        <f ca="1">_xll.BDP($BE12,BM$6,"BEST_FPERIOD_OVERRIDE",BM$5,"BEST_DATA_SOURCE_OVERRIDE","BST","BEST_CONSOLIDATED_OVERRIDE","C")</f>
        <v>#NAME?</v>
      </c>
      <c r="BN12" s="210" t="e">
        <f ca="1">_xll.BDP($BE12,BN$6,"BEST_FPERIOD_OVERRIDE",BN$5,"BEST_DATA_SOURCE_OVERRIDE","BST","BEST_CONSOLIDATED_OVERRIDE","C")</f>
        <v>#NAME?</v>
      </c>
      <c r="BO12" s="210" t="e">
        <f ca="1">_xll.BDP($BE12,BO$6,"BEST_FPERIOD_OVERRIDE",BO$5,"BEST_DATA_SOURCE_OVERRIDE","BST","BEST_CONSOLIDATED_OVERRIDE","C")</f>
        <v>#NAME?</v>
      </c>
      <c r="BP12" s="210" t="e">
        <f ca="1">_xll.BDP($BE12,BP$6,"BEST_FPERIOD_OVERRIDE",BP$5,"BEST_DATA_SOURCE_OVERRIDE","BST","BEST_CONSOLIDATED_OVERRIDE","C")</f>
        <v>#NAME?</v>
      </c>
      <c r="BQ12" s="210" t="e">
        <f ca="1">_xll.BDP($BE12,BQ$6,"BEST_FPERIOD_OVERRIDE",BQ$5,"BEST_DATA_SOURCE_OVERRIDE","BST","BEST_CONSOLIDATED_OVERRIDE","C")</f>
        <v>#NAME?</v>
      </c>
      <c r="BR12" s="210" t="e">
        <f ca="1">_xll.BDP($BE12,BR$6,"BEST_FPERIOD_OVERRIDE",BR$5,"BEST_DATA_SOURCE_OVERRIDE","BST","BEST_CONSOLIDATED_OVERRIDE","C")</f>
        <v>#NAME?</v>
      </c>
      <c r="BS12" s="210" t="e">
        <f ca="1">_xll.BDP($BE12,BS$6,"BEST_FPERIOD_OVERRIDE",BS$5,"BEST_DATA_SOURCE_OVERRIDE","BST","BEST_CONSOLIDATED_OVERRIDE","C")</f>
        <v>#NAME?</v>
      </c>
      <c r="BT12" s="210" t="e">
        <f ca="1">_xll.BDP($BE12,BT$6,"BEST_FPERIOD_OVERRIDE",BT$5,"BEST_DATA_SOURCE_OVERRIDE","BST","BEST_CONSOLIDATED_OVERRIDE","C")</f>
        <v>#NAME?</v>
      </c>
      <c r="BV12" s="210" t="e">
        <f ca="1">_xll.BDP($BE12,BV$6,"BEST_FPERIOD_OVERRIDE",BV$5,"BEST_DATA_SOURCE_OVERRIDE","BST","BEST_CONSOLIDATED_OVERRIDE","C")</f>
        <v>#NAME?</v>
      </c>
      <c r="BW12" s="210" t="e">
        <f ca="1">_xll.BDP($BE12,BW$6,"BEST_FPERIOD_OVERRIDE",BW$5,"BEST_DATA_SOURCE_OVERRIDE","BST","BEST_CONSOLIDATED_OVERRIDE","C")</f>
        <v>#NAME?</v>
      </c>
      <c r="BX12" s="210" t="e">
        <f ca="1">_xll.BDP($BE12,BX$6,"BEST_FPERIOD_OVERRIDE",BX$5,"BEST_DATA_SOURCE_OVERRIDE","BST","BEST_CONSOLIDATED_OVERRIDE","C")</f>
        <v>#NAME?</v>
      </c>
      <c r="BY12" s="210" t="e">
        <f ca="1">_xll.BDP($BE12,BY$6,"BEST_FPERIOD_OVERRIDE",BY$5,"BEST_DATA_SOURCE_OVERRIDE","BST","BEST_CONSOLIDATED_OVERRIDE","C")</f>
        <v>#NAME?</v>
      </c>
      <c r="BZ12" s="210" t="e">
        <f ca="1">_xll.BDP($BE12,BZ$6,"BEST_FPERIOD_OVERRIDE",BZ$5,"BEST_DATA_SOURCE_OVERRIDE","BST","BEST_CONSOLIDATED_OVERRIDE","C")</f>
        <v>#NAME?</v>
      </c>
      <c r="CA12" s="210" t="e">
        <f ca="1">_xll.BDP($BE12,CA$6,"BEST_FPERIOD_OVERRIDE",CA$5,"BEST_DATA_SOURCE_OVERRIDE","BST","BEST_CONSOLIDATED_OVERRIDE","C")</f>
        <v>#NAME?</v>
      </c>
      <c r="CB12" s="210" t="e">
        <f ca="1">_xll.BDP($BE12,CB$6,"BEST_FPERIOD_OVERRIDE",CB$5,"BEST_DATA_SOURCE_OVERRIDE","BST","BEST_CONSOLIDATED_OVERRIDE","C")</f>
        <v>#NAME?</v>
      </c>
      <c r="CC12" s="210" t="e">
        <f ca="1">_xll.BDP($BE12,CC$6,"BEST_FPERIOD_OVERRIDE",CC$5,"BEST_DATA_SOURCE_OVERRIDE","BST","BEST_CONSOLIDATED_OVERRIDE","C")</f>
        <v>#NAME?</v>
      </c>
      <c r="CD12" s="210" t="e">
        <f ca="1">_xll.BDP($BE12,CD$6,"BEST_FPERIOD_OVERRIDE",CD$5,"BEST_DATA_SOURCE_OVERRIDE","BST","BEST_CONSOLIDATED_OVERRIDE","C")</f>
        <v>#NAME?</v>
      </c>
      <c r="CE12" s="210" t="e">
        <f ca="1">_xll.BDP($BE12,CE$6,"BEST_FPERIOD_OVERRIDE",CE$5,"BEST_DATA_SOURCE_OVERRIDE","BST","BEST_CONSOLIDATED_OVERRIDE","C")</f>
        <v>#NAME?</v>
      </c>
      <c r="CF12" s="210" t="e">
        <f ca="1">_xll.BDP($BE12,CF$6,"BEST_FPERIOD_OVERRIDE",CF$5,"BEST_DATA_SOURCE_OVERRIDE","BST","BEST_CONSOLIDATED_OVERRIDE","C")</f>
        <v>#NAME?</v>
      </c>
      <c r="CG12" s="210" t="e">
        <f ca="1">_xll.BDP($BE12,CG$6,"BEST_FPERIOD_OVERRIDE",CG$5,"BEST_DATA_SOURCE_OVERRIDE","BST","BEST_CONSOLIDATED_OVERRIDE","C")</f>
        <v>#NAME?</v>
      </c>
      <c r="CH12" s="210"/>
      <c r="CI12" s="212" t="e">
        <f ca="1">_xll.BDP($BE12,CI$6,"BEST_FPERIOD_OVERRIDE",CI$5,"BEST_DATA_SOURCE_OVERRIDE","BST","BEST_CONSOLIDATED_OVERRIDE","C")</f>
        <v>#NAME?</v>
      </c>
      <c r="CJ12" s="212" t="e">
        <f ca="1">_xll.BDP($BE12,CJ$6,"BEST_FPERIOD_OVERRIDE",CJ$5,"BEST_DATA_SOURCE_OVERRIDE","BST","BEST_CONSOLIDATED_OVERRIDE","C")</f>
        <v>#NAME?</v>
      </c>
      <c r="CK12" s="212" t="e">
        <f ca="1">_xll.BDP($BE12,CK$6,"BEST_FPERIOD_OVERRIDE",CK$5,"BEST_DATA_SOURCE_OVERRIDE","BST","BEST_CONSOLIDATED_OVERRIDE","C")</f>
        <v>#NAME?</v>
      </c>
      <c r="CL12" s="212" t="e">
        <f ca="1">_xll.BDP($BE12,CL$6,"BEST_FPERIOD_OVERRIDE",CL$5,"BEST_DATA_SOURCE_OVERRIDE","BST","BEST_CONSOLIDATED_OVERRIDE","C")</f>
        <v>#NAME?</v>
      </c>
      <c r="CM12" s="212" t="e">
        <f ca="1">_xll.BDP($BE12,CM$6,"BEST_FPERIOD_OVERRIDE",CM$5,"BEST_DATA_SOURCE_OVERRIDE","BST","BEST_CONSOLIDATED_OVERRIDE","C")</f>
        <v>#NAME?</v>
      </c>
      <c r="CN12" s="212" t="e">
        <f ca="1">_xll.BDP($BE12,CN$6,"BEST_FPERIOD_OVERRIDE",CN$5,"BEST_DATA_SOURCE_OVERRIDE","BST","BEST_CONSOLIDATED_OVERRIDE","C")</f>
        <v>#NAME?</v>
      </c>
      <c r="CO12" s="212" t="e">
        <f ca="1">_xll.BDP($BE12,CO$6,"BEST_FPERIOD_OVERRIDE",CO$5,"BEST_DATA_SOURCE_OVERRIDE","BST","BEST_CONSOLIDATED_OVERRIDE","C")</f>
        <v>#NAME?</v>
      </c>
      <c r="CP12" s="212" t="e">
        <f ca="1">_xll.BDP($BE12,CP$6,"BEST_FPERIOD_OVERRIDE",CP$5,"BEST_DATA_SOURCE_OVERRIDE","BST","BEST_CONSOLIDATED_OVERRIDE","C")</f>
        <v>#NAME?</v>
      </c>
      <c r="CQ12" s="212" t="e">
        <f ca="1">_xll.BDP($BE12,CQ$6,"BEST_FPERIOD_OVERRIDE",CQ$5,"BEST_DATA_SOURCE_OVERRIDE","BST","BEST_CONSOLIDATED_OVERRIDE","C")</f>
        <v>#NAME?</v>
      </c>
      <c r="CR12" s="212" t="e">
        <f ca="1">_xll.BDP($BE12,CR$6,"BEST_FPERIOD_OVERRIDE",CR$5,"BEST_DATA_SOURCE_OVERRIDE","BST","BEST_CONSOLIDATED_OVERRIDE","C")</f>
        <v>#NAME?</v>
      </c>
      <c r="CS12" s="212" t="e">
        <f ca="1">_xll.BDP($BE12,CS$6,"BEST_FPERIOD_OVERRIDE",CS$5,"BEST_DATA_SOURCE_OVERRIDE","BST","BEST_CONSOLIDATED_OVERRIDE","C")</f>
        <v>#NAME?</v>
      </c>
      <c r="CT12" s="212" t="e">
        <f ca="1">_xll.BDP($BE12,CT$6,"BEST_FPERIOD_OVERRIDE",CT$5,"BEST_DATA_SOURCE_OVERRIDE","BST","BEST_CONSOLIDATED_OVERRIDE","C")</f>
        <v>#NAME?</v>
      </c>
    </row>
    <row r="13" spans="1:98" s="178" customFormat="1" ht="16.5">
      <c r="A13" s="177" t="e">
        <f ca="1">BB13/1000000</f>
        <v>#NAME?</v>
      </c>
      <c r="B13" s="178" t="e">
        <f ca="1">_xll.BDP(TEXT($F13,)&amp;" equity",TEXT($B$7,))</f>
        <v>#NAME?</v>
      </c>
      <c r="C13" s="178" t="s">
        <v>199</v>
      </c>
      <c r="D13" s="178" t="e">
        <f ca="1">_xll.BDP(TEXT($B13,)&amp;" Curncy",TEXT($D$7,))</f>
        <v>#NAME?</v>
      </c>
      <c r="E13" s="193" t="e">
        <f ca="1">_xll.BDP(TEXT(BloombergCode,)&amp;" equity","LONG_COMP_NAME")</f>
        <v>#NAME?</v>
      </c>
      <c r="F13" s="194" t="s">
        <v>210</v>
      </c>
      <c r="G13" s="217" t="e">
        <f ca="1">AZ13</f>
        <v>#NAME?</v>
      </c>
      <c r="H13" s="218" t="e">
        <f ca="1">IF(C13="Mult",D13*A13,IF(C13="Div",A13/D13,"Error"))</f>
        <v>#NAME?</v>
      </c>
      <c r="I13" s="197" t="e">
        <f t="shared" ref="I13:R13" ca="1" si="25">BX13</f>
        <v>#NAME?</v>
      </c>
      <c r="J13" s="197" t="e">
        <f t="shared" ca="1" si="25"/>
        <v>#NAME?</v>
      </c>
      <c r="K13" s="197" t="e">
        <f t="shared" ca="1" si="25"/>
        <v>#NAME?</v>
      </c>
      <c r="L13" s="197" t="e">
        <f t="shared" ca="1" si="25"/>
        <v>#NAME?</v>
      </c>
      <c r="M13" s="197" t="e">
        <f t="shared" ca="1" si="25"/>
        <v>#NAME?</v>
      </c>
      <c r="N13" s="197" t="e">
        <f t="shared" ca="1" si="25"/>
        <v>#NAME?</v>
      </c>
      <c r="O13" s="197" t="e">
        <f t="shared" ca="1" si="25"/>
        <v>#NAME?</v>
      </c>
      <c r="P13" s="197" t="e">
        <f t="shared" ca="1" si="25"/>
        <v>#NAME?</v>
      </c>
      <c r="Q13" s="197" t="e">
        <f t="shared" ca="1" si="25"/>
        <v>#NAME?</v>
      </c>
      <c r="R13" s="197" t="e">
        <f t="shared" ca="1" si="25"/>
        <v>#NAME?</v>
      </c>
      <c r="S13" s="198" t="e">
        <f t="shared" ca="1" si="7"/>
        <v>#NAME?</v>
      </c>
      <c r="T13" s="197" t="e">
        <f t="shared" ca="1" si="8"/>
        <v>#NAME?</v>
      </c>
      <c r="U13" s="197" t="e">
        <f t="shared" ca="1" si="9"/>
        <v>#NAME?</v>
      </c>
      <c r="V13" s="197" t="e">
        <f t="shared" ca="1" si="10"/>
        <v>#NAME?</v>
      </c>
      <c r="W13" s="197" t="e">
        <f t="shared" ca="1" si="11"/>
        <v>#NAME?</v>
      </c>
      <c r="X13" s="197" t="e">
        <f t="shared" ca="1" si="12"/>
        <v>#NAME?</v>
      </c>
      <c r="Y13" s="197" t="e">
        <f t="shared" ca="1" si="13"/>
        <v>#NAME?</v>
      </c>
      <c r="Z13" s="197" t="e">
        <f t="shared" ca="1" si="14"/>
        <v>#NAME?</v>
      </c>
      <c r="AA13" s="197" t="e">
        <f t="shared" ca="1" si="15"/>
        <v>#NAME?</v>
      </c>
      <c r="AB13" s="197" t="e">
        <f t="shared" ca="1" si="15"/>
        <v>#NAME?</v>
      </c>
      <c r="AC13" s="199" t="e">
        <f t="shared" ca="1" si="24"/>
        <v>#NAME?</v>
      </c>
      <c r="AD13" s="200" t="e">
        <f t="shared" ca="1" si="16"/>
        <v>#NAME?</v>
      </c>
      <c r="AE13" s="200" t="e">
        <f t="shared" ca="1" si="17"/>
        <v>#NAME?</v>
      </c>
      <c r="AF13" s="200" t="e">
        <f t="shared" ca="1" si="18"/>
        <v>#NAME?</v>
      </c>
      <c r="AG13" s="200" t="e">
        <f t="shared" ca="1" si="19"/>
        <v>#NAME?</v>
      </c>
      <c r="AH13" s="200" t="e">
        <f t="shared" ca="1" si="20"/>
        <v>#NAME?</v>
      </c>
      <c r="AI13" s="200" t="e">
        <f t="shared" ca="1" si="21"/>
        <v>#NAME?</v>
      </c>
      <c r="AJ13" s="200" t="e">
        <f t="shared" ca="1" si="21"/>
        <v>#NAME?</v>
      </c>
      <c r="AK13" s="200" t="e">
        <f t="shared" ca="1" si="21"/>
        <v>#NAME?</v>
      </c>
      <c r="AL13" s="200" t="e">
        <f t="shared" ca="1" si="21"/>
        <v>#NAME?</v>
      </c>
      <c r="AM13" s="175"/>
      <c r="AN13" s="148" t="e">
        <f t="shared" ca="1" si="22"/>
        <v>#NAME?</v>
      </c>
      <c r="AO13" s="136"/>
      <c r="AP13" s="187"/>
      <c r="AQ13" s="136"/>
      <c r="AR13" s="188" t="e">
        <f ca="1">IF(LEFT(_xll.BDP(TEXT(BloombergCode,)&amp;" equity",TEXT(BloombergItem,)),1)="#",AV13,_xll.BDP(TEXT(BloombergCode,)&amp;" equity",TEXT(BloombergItem,)))</f>
        <v>#NAME?</v>
      </c>
      <c r="AS13" s="138" t="e">
        <f ca="1">IF(LEFT(_xll.BDP(AR13&amp;" Curncy",TEXT(BloombergItem,)),1)="#",AW13,_xll.BDP(AR13&amp;" Curncy",TEXT(BloombergItem,)))</f>
        <v>#NAME?</v>
      </c>
      <c r="AT13" s="138" t="e">
        <f ca="1">VLOOKUP('Global Properties'!$AR13,#REF!,2,0)</f>
        <v>#NAME?</v>
      </c>
      <c r="AU13" s="189" t="e">
        <f ca="1">_xll.BDP(AR13&amp;" Curncy",TEXT(BloombergItem,))</f>
        <v>#NAME?</v>
      </c>
      <c r="AV13" s="190" t="e">
        <f ca="1">_xll.BDP(TEXT(BloombergCode,)&amp;" equity",TEXT(BloombergItem,))</f>
        <v>#NAME?</v>
      </c>
      <c r="AW13" s="189" t="e">
        <f ca="1">_xll.BDP(AV13&amp;" Curncy",TEXT(BloombergItem,))</f>
        <v>#NAME?</v>
      </c>
      <c r="AX13" s="138" t="e">
        <f ca="1">VLOOKUP('Global Properties'!$AV13,#REF!,2,0)</f>
        <v>#NAME?</v>
      </c>
      <c r="AY13" s="219" t="e">
        <f ca="1">_xll.BDP(TEXT(BloombergCode,)&amp;" equity",TEXT(BloombergItem,))</f>
        <v>#NAME?</v>
      </c>
      <c r="AZ13" s="219" t="e">
        <f ca="1">_xll.BDP(TEXT(BloombergCode,)&amp;" equity",TEXT(BloombergItem,))</f>
        <v>#NAME?</v>
      </c>
      <c r="BA13" s="220" t="e">
        <f ca="1">_xll.BDP(TEXT(BloombergCode,)&amp;" equity",TEXT(BloombergItem,))</f>
        <v>#NAME?</v>
      </c>
      <c r="BB13" s="220" t="e">
        <f ca="1">_xll.BDP(TEXT(BloombergCode,)&amp;" equity",TEXT(BloombergItem,))</f>
        <v>#NAME?</v>
      </c>
      <c r="BC13" s="220" t="e">
        <f ca="1">_xll.BDP(TEXT(BloombergCode,)&amp;" equity",TEXT(BloombergItem,))</f>
        <v>#NAME?</v>
      </c>
      <c r="BD13" s="190"/>
      <c r="BE13" s="139" t="str">
        <f t="shared" si="23"/>
        <v>FRT US equity</v>
      </c>
      <c r="BF13" s="139"/>
      <c r="BH13" s="191"/>
      <c r="BI13" s="191" t="e">
        <f ca="1">_xll.BDP($BE13,BI$6,"BEST_FPERIOD_OVERRIDE",BI$5,"BEST_DATA_SOURCE_OVERRIDE","BST","BEST_CONSOLIDATED_OVERRIDE","C")</f>
        <v>#NAME?</v>
      </c>
      <c r="BJ13" s="191" t="e">
        <f ca="1">_xll.BDP($BE13,BJ$6,"BEST_FPERIOD_OVERRIDE",BJ$5,"BEST_DATA_SOURCE_OVERRIDE","BST","BEST_CONSOLIDATED_OVERRIDE","C")</f>
        <v>#NAME?</v>
      </c>
      <c r="BK13" s="191" t="e">
        <f ca="1">_xll.BDP($BE13,BK$6,"BEST_FPERIOD_OVERRIDE",BK$5,"BEST_DATA_SOURCE_OVERRIDE","BST","BEST_CONSOLIDATED_OVERRIDE","C")</f>
        <v>#NAME?</v>
      </c>
      <c r="BL13" s="191" t="e">
        <f ca="1">_xll.BDP($BE13,BL$6,"BEST_FPERIOD_OVERRIDE",BL$5,"BEST_DATA_SOURCE_OVERRIDE","BST","BEST_CONSOLIDATED_OVERRIDE","C")</f>
        <v>#NAME?</v>
      </c>
      <c r="BM13" s="191" t="e">
        <f ca="1">_xll.BDP($BE13,BM$6,"BEST_FPERIOD_OVERRIDE",BM$5,"BEST_DATA_SOURCE_OVERRIDE","BST","BEST_CONSOLIDATED_OVERRIDE","C")</f>
        <v>#NAME?</v>
      </c>
      <c r="BN13" s="191" t="e">
        <f ca="1">_xll.BDP($BE13,BN$6,"BEST_FPERIOD_OVERRIDE",BN$5,"BEST_DATA_SOURCE_OVERRIDE","BST","BEST_CONSOLIDATED_OVERRIDE","C")</f>
        <v>#NAME?</v>
      </c>
      <c r="BO13" s="191" t="e">
        <f ca="1">_xll.BDP($BE13,BO$6,"BEST_FPERIOD_OVERRIDE",BO$5,"BEST_DATA_SOURCE_OVERRIDE","BST","BEST_CONSOLIDATED_OVERRIDE","C")</f>
        <v>#NAME?</v>
      </c>
      <c r="BP13" s="191" t="e">
        <f ca="1">_xll.BDP($BE13,BP$6,"BEST_FPERIOD_OVERRIDE",BP$5,"BEST_DATA_SOURCE_OVERRIDE","BST","BEST_CONSOLIDATED_OVERRIDE","C")</f>
        <v>#NAME?</v>
      </c>
      <c r="BQ13" s="191" t="e">
        <f ca="1">_xll.BDP($BE13,BQ$6,"BEST_FPERIOD_OVERRIDE",BQ$5,"BEST_DATA_SOURCE_OVERRIDE","BST","BEST_CONSOLIDATED_OVERRIDE","C")</f>
        <v>#NAME?</v>
      </c>
      <c r="BR13" s="191" t="e">
        <f ca="1">_xll.BDP($BE13,BR$6,"BEST_FPERIOD_OVERRIDE",BR$5,"BEST_DATA_SOURCE_OVERRIDE","BST","BEST_CONSOLIDATED_OVERRIDE","C")</f>
        <v>#NAME?</v>
      </c>
      <c r="BS13" s="191" t="e">
        <f ca="1">_xll.BDP($BE13,BS$6,"BEST_FPERIOD_OVERRIDE",BS$5,"BEST_DATA_SOURCE_OVERRIDE","BST","BEST_CONSOLIDATED_OVERRIDE","C")</f>
        <v>#NAME?</v>
      </c>
      <c r="BT13" s="191" t="e">
        <f ca="1">_xll.BDP($BE13,BT$6,"BEST_FPERIOD_OVERRIDE",BT$5,"BEST_DATA_SOURCE_OVERRIDE","BST","BEST_CONSOLIDATED_OVERRIDE","C")</f>
        <v>#NAME?</v>
      </c>
      <c r="BV13" s="191" t="e">
        <f ca="1">_xll.BDP($BE13,BV$6,"BEST_FPERIOD_OVERRIDE",BV$5,"BEST_DATA_SOURCE_OVERRIDE","BST","BEST_CONSOLIDATED_OVERRIDE","C")</f>
        <v>#NAME?</v>
      </c>
      <c r="BW13" s="191" t="e">
        <f ca="1">_xll.BDP($BE13,BW$6,"BEST_FPERIOD_OVERRIDE",BW$5,"BEST_DATA_SOURCE_OVERRIDE","BST","BEST_CONSOLIDATED_OVERRIDE","C")</f>
        <v>#NAME?</v>
      </c>
      <c r="BX13" s="191" t="e">
        <f ca="1">_xll.BDP($BE13,BX$6,"BEST_FPERIOD_OVERRIDE",BX$5,"BEST_DATA_SOURCE_OVERRIDE","BST","BEST_CONSOLIDATED_OVERRIDE","C")</f>
        <v>#NAME?</v>
      </c>
      <c r="BY13" s="191" t="e">
        <f ca="1">_xll.BDP($BE13,BY$6,"BEST_FPERIOD_OVERRIDE",BY$5,"BEST_DATA_SOURCE_OVERRIDE","BST","BEST_CONSOLIDATED_OVERRIDE","C")</f>
        <v>#NAME?</v>
      </c>
      <c r="BZ13" s="191" t="e">
        <f ca="1">_xll.BDP($BE13,BZ$6,"BEST_FPERIOD_OVERRIDE",BZ$5,"BEST_DATA_SOURCE_OVERRIDE","BST","BEST_CONSOLIDATED_OVERRIDE","C")</f>
        <v>#NAME?</v>
      </c>
      <c r="CA13" s="191" t="e">
        <f ca="1">_xll.BDP($BE13,CA$6,"BEST_FPERIOD_OVERRIDE",CA$5,"BEST_DATA_SOURCE_OVERRIDE","BST","BEST_CONSOLIDATED_OVERRIDE","C")</f>
        <v>#NAME?</v>
      </c>
      <c r="CB13" s="191" t="e">
        <f ca="1">_xll.BDP($BE13,CB$6,"BEST_FPERIOD_OVERRIDE",CB$5,"BEST_DATA_SOURCE_OVERRIDE","BST","BEST_CONSOLIDATED_OVERRIDE","C")</f>
        <v>#NAME?</v>
      </c>
      <c r="CC13" s="191" t="e">
        <f ca="1">_xll.BDP($BE13,CC$6,"BEST_FPERIOD_OVERRIDE",CC$5,"BEST_DATA_SOURCE_OVERRIDE","BST","BEST_CONSOLIDATED_OVERRIDE","C")</f>
        <v>#NAME?</v>
      </c>
      <c r="CD13" s="191" t="e">
        <f ca="1">_xll.BDP($BE13,CD$6,"BEST_FPERIOD_OVERRIDE",CD$5,"BEST_DATA_SOURCE_OVERRIDE","BST","BEST_CONSOLIDATED_OVERRIDE","C")</f>
        <v>#NAME?</v>
      </c>
      <c r="CE13" s="191" t="e">
        <f ca="1">_xll.BDP($BE13,CE$6,"BEST_FPERIOD_OVERRIDE",CE$5,"BEST_DATA_SOURCE_OVERRIDE","BST","BEST_CONSOLIDATED_OVERRIDE","C")</f>
        <v>#NAME?</v>
      </c>
      <c r="CF13" s="191" t="e">
        <f ca="1">_xll.BDP($BE13,CF$6,"BEST_FPERIOD_OVERRIDE",CF$5,"BEST_DATA_SOURCE_OVERRIDE","BST","BEST_CONSOLIDATED_OVERRIDE","C")</f>
        <v>#NAME?</v>
      </c>
      <c r="CG13" s="191" t="e">
        <f ca="1">_xll.BDP($BE13,CG$6,"BEST_FPERIOD_OVERRIDE",CG$5,"BEST_DATA_SOURCE_OVERRIDE","BST","BEST_CONSOLIDATED_OVERRIDE","C")</f>
        <v>#NAME?</v>
      </c>
      <c r="CH13" s="191"/>
      <c r="CI13" s="192" t="e">
        <f ca="1">_xll.BDP($BE13,CI$6,"BEST_FPERIOD_OVERRIDE",CI$5,"BEST_DATA_SOURCE_OVERRIDE","BST","BEST_CONSOLIDATED_OVERRIDE","C")</f>
        <v>#NAME?</v>
      </c>
      <c r="CJ13" s="192" t="e">
        <f ca="1">_xll.BDP($BE13,CJ$6,"BEST_FPERIOD_OVERRIDE",CJ$5,"BEST_DATA_SOURCE_OVERRIDE","BST","BEST_CONSOLIDATED_OVERRIDE","C")</f>
        <v>#NAME?</v>
      </c>
      <c r="CK13" s="192" t="e">
        <f ca="1">_xll.BDP($BE13,CK$6,"BEST_FPERIOD_OVERRIDE",CK$5,"BEST_DATA_SOURCE_OVERRIDE","BST","BEST_CONSOLIDATED_OVERRIDE","C")</f>
        <v>#NAME?</v>
      </c>
      <c r="CL13" s="192" t="e">
        <f ca="1">_xll.BDP($BE13,CL$6,"BEST_FPERIOD_OVERRIDE",CL$5,"BEST_DATA_SOURCE_OVERRIDE","BST","BEST_CONSOLIDATED_OVERRIDE","C")</f>
        <v>#NAME?</v>
      </c>
      <c r="CM13" s="192" t="e">
        <f ca="1">_xll.BDP($BE13,CM$6,"BEST_FPERIOD_OVERRIDE",CM$5,"BEST_DATA_SOURCE_OVERRIDE","BST","BEST_CONSOLIDATED_OVERRIDE","C")</f>
        <v>#NAME?</v>
      </c>
      <c r="CN13" s="192" t="e">
        <f ca="1">_xll.BDP($BE13,CN$6,"BEST_FPERIOD_OVERRIDE",CN$5,"BEST_DATA_SOURCE_OVERRIDE","BST","BEST_CONSOLIDATED_OVERRIDE","C")</f>
        <v>#NAME?</v>
      </c>
      <c r="CO13" s="192" t="e">
        <f ca="1">_xll.BDP($BE13,CO$6,"BEST_FPERIOD_OVERRIDE",CO$5,"BEST_DATA_SOURCE_OVERRIDE","BST","BEST_CONSOLIDATED_OVERRIDE","C")</f>
        <v>#NAME?</v>
      </c>
      <c r="CP13" s="192" t="e">
        <f ca="1">_xll.BDP($BE13,CP$6,"BEST_FPERIOD_OVERRIDE",CP$5,"BEST_DATA_SOURCE_OVERRIDE","BST","BEST_CONSOLIDATED_OVERRIDE","C")</f>
        <v>#NAME?</v>
      </c>
      <c r="CQ13" s="192" t="e">
        <f ca="1">_xll.BDP($BE13,CQ$6,"BEST_FPERIOD_OVERRIDE",CQ$5,"BEST_DATA_SOURCE_OVERRIDE","BST","BEST_CONSOLIDATED_OVERRIDE","C")</f>
        <v>#NAME?</v>
      </c>
      <c r="CR13" s="192" t="e">
        <f ca="1">_xll.BDP($BE13,CR$6,"BEST_FPERIOD_OVERRIDE",CR$5,"BEST_DATA_SOURCE_OVERRIDE","BST","BEST_CONSOLIDATED_OVERRIDE","C")</f>
        <v>#NAME?</v>
      </c>
      <c r="CS13" s="192" t="e">
        <f ca="1">_xll.BDP($BE13,CS$6,"BEST_FPERIOD_OVERRIDE",CS$5,"BEST_DATA_SOURCE_OVERRIDE","BST","BEST_CONSOLIDATED_OVERRIDE","C")</f>
        <v>#NAME?</v>
      </c>
      <c r="CT13" s="192" t="e">
        <f ca="1">_xll.BDP($BE13,CT$6,"BEST_FPERIOD_OVERRIDE",CT$5,"BEST_DATA_SOURCE_OVERRIDE","BST","BEST_CONSOLIDATED_OVERRIDE","C")</f>
        <v>#NAME?</v>
      </c>
    </row>
    <row r="14" spans="1:98" s="211" customFormat="1" ht="16.5">
      <c r="A14" s="177" t="e">
        <f t="shared" ca="1" si="3"/>
        <v>#NAME?</v>
      </c>
      <c r="B14" s="178" t="e">
        <f ca="1">_xll.BDP(TEXT($F14,)&amp;" equity",TEXT($B$7,))</f>
        <v>#NAME?</v>
      </c>
      <c r="C14" s="178" t="s">
        <v>199</v>
      </c>
      <c r="D14" s="178" t="e">
        <f ca="1">_xll.BDP(TEXT($B14,)&amp;" Curncy",TEXT($D$7,))</f>
        <v>#NAME?</v>
      </c>
      <c r="E14" s="179" t="e">
        <f ca="1">_xll.BDP(TEXT(BloombergCode,)&amp;" equity","LONG_COMP_NAME")</f>
        <v>#NAME?</v>
      </c>
      <c r="F14" s="180" t="s">
        <v>208</v>
      </c>
      <c r="G14" s="213" t="e">
        <f t="shared" ca="1" si="4"/>
        <v>#NAME?</v>
      </c>
      <c r="H14" s="214" t="e">
        <f t="shared" ca="1" si="5"/>
        <v>#NAME?</v>
      </c>
      <c r="I14" s="183" t="e">
        <f t="shared" ref="I14:R19" ca="1" si="26">BX14</f>
        <v>#NAME?</v>
      </c>
      <c r="J14" s="183" t="e">
        <f t="shared" ca="1" si="26"/>
        <v>#NAME?</v>
      </c>
      <c r="K14" s="183" t="e">
        <f t="shared" ca="1" si="26"/>
        <v>#NAME?</v>
      </c>
      <c r="L14" s="183" t="e">
        <f t="shared" ca="1" si="26"/>
        <v>#NAME?</v>
      </c>
      <c r="M14" s="183" t="e">
        <f t="shared" ca="1" si="26"/>
        <v>#NAME?</v>
      </c>
      <c r="N14" s="183" t="e">
        <f t="shared" ca="1" si="26"/>
        <v>#NAME?</v>
      </c>
      <c r="O14" s="183" t="e">
        <f t="shared" ca="1" si="26"/>
        <v>#NAME?</v>
      </c>
      <c r="P14" s="183" t="e">
        <f t="shared" ca="1" si="26"/>
        <v>#NAME?</v>
      </c>
      <c r="Q14" s="183" t="e">
        <f t="shared" ca="1" si="26"/>
        <v>#NAME?</v>
      </c>
      <c r="R14" s="183" t="e">
        <f t="shared" ca="1" si="26"/>
        <v>#NAME?</v>
      </c>
      <c r="S14" s="184" t="e">
        <f t="shared" ca="1" si="7"/>
        <v>#NAME?</v>
      </c>
      <c r="T14" s="183" t="e">
        <f t="shared" ca="1" si="8"/>
        <v>#NAME?</v>
      </c>
      <c r="U14" s="183" t="e">
        <f t="shared" ca="1" si="9"/>
        <v>#NAME?</v>
      </c>
      <c r="V14" s="183" t="e">
        <f t="shared" ca="1" si="10"/>
        <v>#NAME?</v>
      </c>
      <c r="W14" s="183" t="e">
        <f t="shared" ca="1" si="11"/>
        <v>#NAME?</v>
      </c>
      <c r="X14" s="183" t="e">
        <f t="shared" ca="1" si="12"/>
        <v>#NAME?</v>
      </c>
      <c r="Y14" s="183" t="e">
        <f t="shared" ca="1" si="13"/>
        <v>#NAME?</v>
      </c>
      <c r="Z14" s="183" t="e">
        <f t="shared" ca="1" si="14"/>
        <v>#NAME?</v>
      </c>
      <c r="AA14" s="183" t="e">
        <f t="shared" ca="1" si="15"/>
        <v>#NAME?</v>
      </c>
      <c r="AB14" s="183" t="e">
        <f t="shared" ca="1" si="15"/>
        <v>#NAME?</v>
      </c>
      <c r="AC14" s="185" t="e">
        <f t="shared" ca="1" si="24"/>
        <v>#NAME?</v>
      </c>
      <c r="AD14" s="186" t="e">
        <f t="shared" ca="1" si="16"/>
        <v>#NAME?</v>
      </c>
      <c r="AE14" s="186" t="e">
        <f t="shared" ca="1" si="17"/>
        <v>#NAME?</v>
      </c>
      <c r="AF14" s="186" t="e">
        <f t="shared" ca="1" si="18"/>
        <v>#NAME?</v>
      </c>
      <c r="AG14" s="186" t="e">
        <f t="shared" ca="1" si="19"/>
        <v>#NAME?</v>
      </c>
      <c r="AH14" s="186" t="e">
        <f t="shared" ca="1" si="20"/>
        <v>#NAME?</v>
      </c>
      <c r="AI14" s="186" t="e">
        <f t="shared" ca="1" si="21"/>
        <v>#NAME?</v>
      </c>
      <c r="AJ14" s="186" t="e">
        <f t="shared" ca="1" si="21"/>
        <v>#NAME?</v>
      </c>
      <c r="AK14" s="186" t="e">
        <f t="shared" ca="1" si="21"/>
        <v>#NAME?</v>
      </c>
      <c r="AL14" s="186" t="e">
        <f t="shared" ca="1" si="21"/>
        <v>#NAME?</v>
      </c>
      <c r="AM14" s="201"/>
      <c r="AN14" s="202" t="e">
        <f t="shared" ca="1" si="22"/>
        <v>#NAME?</v>
      </c>
      <c r="AO14" s="204"/>
      <c r="AP14" s="204"/>
      <c r="AQ14" s="204"/>
      <c r="AR14" s="205" t="e">
        <f ca="1">IF(LEFT(_xll.BDP(TEXT(BloombergCode,)&amp;" equity",TEXT(BloombergItem,)),1)="#",AV14,_xll.BDP(TEXT(BloombergCode,)&amp;" equity",TEXT(BloombergItem,)))</f>
        <v>#NAME?</v>
      </c>
      <c r="AS14" s="206" t="e">
        <f ca="1">IF(LEFT(_xll.BDP(AR14&amp;" Curncy",TEXT(BloombergItem,)),1)="#",AW14,_xll.BDP(AR14&amp;" Curncy",TEXT(BloombergItem,)))</f>
        <v>#NAME?</v>
      </c>
      <c r="AT14" s="206" t="e">
        <f ca="1">VLOOKUP('Global Properties'!$AR14,#REF!,2,0)</f>
        <v>#NAME?</v>
      </c>
      <c r="AU14" s="207" t="e">
        <f ca="1">_xll.BDP(AR14&amp;" Curncy",TEXT(BloombergItem,))</f>
        <v>#NAME?</v>
      </c>
      <c r="AV14" s="208" t="e">
        <f ca="1">_xll.BDP(TEXT(BloombergCode,)&amp;" equity",TEXT(BloombergItem,))</f>
        <v>#NAME?</v>
      </c>
      <c r="AW14" s="207" t="e">
        <f ca="1">_xll.BDP(AV14&amp;" Curncy",TEXT(BloombergItem,))</f>
        <v>#NAME?</v>
      </c>
      <c r="AX14" s="206" t="e">
        <f ca="1">VLOOKUP('Global Properties'!$AV14,#REF!,2,0)</f>
        <v>#NAME?</v>
      </c>
      <c r="AY14" s="215" t="e">
        <f ca="1">_xll.BDP(TEXT(BloombergCode,)&amp;" equity",TEXT(BloombergItem,))</f>
        <v>#NAME?</v>
      </c>
      <c r="AZ14" s="215" t="e">
        <f ca="1">_xll.BDP(TEXT(BloombergCode,)&amp;" equity",TEXT(BloombergItem,))</f>
        <v>#NAME?</v>
      </c>
      <c r="BA14" s="216" t="e">
        <f ca="1">_xll.BDP(TEXT(BloombergCode,)&amp;" equity",TEXT(BloombergItem,))</f>
        <v>#NAME?</v>
      </c>
      <c r="BB14" s="216" t="e">
        <f ca="1">_xll.BDP(TEXT(BloombergCode,)&amp;" equity",TEXT(BloombergItem,))</f>
        <v>#NAME?</v>
      </c>
      <c r="BC14" s="216" t="e">
        <f ca="1">_xll.BDP(TEXT(BloombergCode,)&amp;" equity",TEXT(BloombergItem,))</f>
        <v>#NAME?</v>
      </c>
      <c r="BD14" s="208"/>
      <c r="BE14" s="209" t="str">
        <f t="shared" si="23"/>
        <v>SLG US equity</v>
      </c>
      <c r="BF14" s="209"/>
      <c r="BH14" s="210"/>
      <c r="BI14" s="210" t="e">
        <f ca="1">_xll.BDP($BE14,BI$6,"BEST_FPERIOD_OVERRIDE",BI$5,"BEST_DATA_SOURCE_OVERRIDE","BST","BEST_CONSOLIDATED_OVERRIDE","C")</f>
        <v>#NAME?</v>
      </c>
      <c r="BJ14" s="210" t="e">
        <f ca="1">_xll.BDP($BE14,BJ$6,"BEST_FPERIOD_OVERRIDE",BJ$5,"BEST_DATA_SOURCE_OVERRIDE","BST","BEST_CONSOLIDATED_OVERRIDE","C")</f>
        <v>#NAME?</v>
      </c>
      <c r="BK14" s="210" t="e">
        <f ca="1">_xll.BDP($BE14,BK$6,"BEST_FPERIOD_OVERRIDE",BK$5,"BEST_DATA_SOURCE_OVERRIDE","BST","BEST_CONSOLIDATED_OVERRIDE","C")</f>
        <v>#NAME?</v>
      </c>
      <c r="BL14" s="210" t="e">
        <f ca="1">_xll.BDP($BE14,BL$6,"BEST_FPERIOD_OVERRIDE",BL$5,"BEST_DATA_SOURCE_OVERRIDE","BST","BEST_CONSOLIDATED_OVERRIDE","C")</f>
        <v>#NAME?</v>
      </c>
      <c r="BM14" s="210" t="e">
        <f ca="1">_xll.BDP($BE14,BM$6,"BEST_FPERIOD_OVERRIDE",BM$5,"BEST_DATA_SOURCE_OVERRIDE","BST","BEST_CONSOLIDATED_OVERRIDE","C")</f>
        <v>#NAME?</v>
      </c>
      <c r="BN14" s="210" t="e">
        <f ca="1">_xll.BDP($BE14,BN$6,"BEST_FPERIOD_OVERRIDE",BN$5,"BEST_DATA_SOURCE_OVERRIDE","BST","BEST_CONSOLIDATED_OVERRIDE","C")</f>
        <v>#NAME?</v>
      </c>
      <c r="BO14" s="210" t="e">
        <f ca="1">_xll.BDP($BE14,BO$6,"BEST_FPERIOD_OVERRIDE",BO$5,"BEST_DATA_SOURCE_OVERRIDE","BST","BEST_CONSOLIDATED_OVERRIDE","C")</f>
        <v>#NAME?</v>
      </c>
      <c r="BP14" s="210" t="e">
        <f ca="1">_xll.BDP($BE14,BP$6,"BEST_FPERIOD_OVERRIDE",BP$5,"BEST_DATA_SOURCE_OVERRIDE","BST","BEST_CONSOLIDATED_OVERRIDE","C")</f>
        <v>#NAME?</v>
      </c>
      <c r="BQ14" s="210" t="e">
        <f ca="1">_xll.BDP($BE14,BQ$6,"BEST_FPERIOD_OVERRIDE",BQ$5,"BEST_DATA_SOURCE_OVERRIDE","BST","BEST_CONSOLIDATED_OVERRIDE","C")</f>
        <v>#NAME?</v>
      </c>
      <c r="BR14" s="210" t="e">
        <f ca="1">_xll.BDP($BE14,BR$6,"BEST_FPERIOD_OVERRIDE",BR$5,"BEST_DATA_SOURCE_OVERRIDE","BST","BEST_CONSOLIDATED_OVERRIDE","C")</f>
        <v>#NAME?</v>
      </c>
      <c r="BS14" s="210" t="e">
        <f ca="1">_xll.BDP($BE14,BS$6,"BEST_FPERIOD_OVERRIDE",BS$5,"BEST_DATA_SOURCE_OVERRIDE","BST","BEST_CONSOLIDATED_OVERRIDE","C")</f>
        <v>#NAME?</v>
      </c>
      <c r="BT14" s="210" t="e">
        <f ca="1">_xll.BDP($BE14,BT$6,"BEST_FPERIOD_OVERRIDE",BT$5,"BEST_DATA_SOURCE_OVERRIDE","BST","BEST_CONSOLIDATED_OVERRIDE","C")</f>
        <v>#NAME?</v>
      </c>
      <c r="BV14" s="210" t="e">
        <f ca="1">_xll.BDP($BE14,BV$6,"BEST_FPERIOD_OVERRIDE",BV$5,"BEST_DATA_SOURCE_OVERRIDE","BST","BEST_CONSOLIDATED_OVERRIDE","C")</f>
        <v>#NAME?</v>
      </c>
      <c r="BW14" s="210" t="e">
        <f ca="1">_xll.BDP($BE14,BW$6,"BEST_FPERIOD_OVERRIDE",BW$5,"BEST_DATA_SOURCE_OVERRIDE","BST","BEST_CONSOLIDATED_OVERRIDE","C")</f>
        <v>#NAME?</v>
      </c>
      <c r="BX14" s="210" t="e">
        <f ca="1">_xll.BDP($BE14,BX$6,"BEST_FPERIOD_OVERRIDE",BX$5,"BEST_DATA_SOURCE_OVERRIDE","BST","BEST_CONSOLIDATED_OVERRIDE","C")</f>
        <v>#NAME?</v>
      </c>
      <c r="BY14" s="210" t="e">
        <f ca="1">_xll.BDP($BE14,BY$6,"BEST_FPERIOD_OVERRIDE",BY$5,"BEST_DATA_SOURCE_OVERRIDE","BST","BEST_CONSOLIDATED_OVERRIDE","C")</f>
        <v>#NAME?</v>
      </c>
      <c r="BZ14" s="210" t="e">
        <f ca="1">_xll.BDP($BE14,BZ$6,"BEST_FPERIOD_OVERRIDE",BZ$5,"BEST_DATA_SOURCE_OVERRIDE","BST","BEST_CONSOLIDATED_OVERRIDE","C")</f>
        <v>#NAME?</v>
      </c>
      <c r="CA14" s="210" t="e">
        <f ca="1">_xll.BDP($BE14,CA$6,"BEST_FPERIOD_OVERRIDE",CA$5,"BEST_DATA_SOURCE_OVERRIDE","BST","BEST_CONSOLIDATED_OVERRIDE","C")</f>
        <v>#NAME?</v>
      </c>
      <c r="CB14" s="210" t="e">
        <f ca="1">_xll.BDP($BE14,CB$6,"BEST_FPERIOD_OVERRIDE",CB$5,"BEST_DATA_SOURCE_OVERRIDE","BST","BEST_CONSOLIDATED_OVERRIDE","C")</f>
        <v>#NAME?</v>
      </c>
      <c r="CC14" s="210" t="e">
        <f ca="1">_xll.BDP($BE14,CC$6,"BEST_FPERIOD_OVERRIDE",CC$5,"BEST_DATA_SOURCE_OVERRIDE","BST","BEST_CONSOLIDATED_OVERRIDE","C")</f>
        <v>#NAME?</v>
      </c>
      <c r="CD14" s="210" t="e">
        <f ca="1">_xll.BDP($BE14,CD$6,"BEST_FPERIOD_OVERRIDE",CD$5,"BEST_DATA_SOURCE_OVERRIDE","BST","BEST_CONSOLIDATED_OVERRIDE","C")</f>
        <v>#NAME?</v>
      </c>
      <c r="CE14" s="210" t="e">
        <f ca="1">_xll.BDP($BE14,CE$6,"BEST_FPERIOD_OVERRIDE",CE$5,"BEST_DATA_SOURCE_OVERRIDE","BST","BEST_CONSOLIDATED_OVERRIDE","C")</f>
        <v>#NAME?</v>
      </c>
      <c r="CF14" s="210" t="e">
        <f ca="1">_xll.BDP($BE14,CF$6,"BEST_FPERIOD_OVERRIDE",CF$5,"BEST_DATA_SOURCE_OVERRIDE","BST","BEST_CONSOLIDATED_OVERRIDE","C")</f>
        <v>#NAME?</v>
      </c>
      <c r="CG14" s="210" t="e">
        <f ca="1">_xll.BDP($BE14,CG$6,"BEST_FPERIOD_OVERRIDE",CG$5,"BEST_DATA_SOURCE_OVERRIDE","BST","BEST_CONSOLIDATED_OVERRIDE","C")</f>
        <v>#NAME?</v>
      </c>
      <c r="CH14" s="210"/>
      <c r="CI14" s="212" t="e">
        <f ca="1">_xll.BDP($BE14,CI$6,"BEST_FPERIOD_OVERRIDE",CI$5,"BEST_DATA_SOURCE_OVERRIDE","BST","BEST_CONSOLIDATED_OVERRIDE","C")</f>
        <v>#NAME?</v>
      </c>
      <c r="CJ14" s="212" t="e">
        <f ca="1">_xll.BDP($BE14,CJ$6,"BEST_FPERIOD_OVERRIDE",CJ$5,"BEST_DATA_SOURCE_OVERRIDE","BST","BEST_CONSOLIDATED_OVERRIDE","C")</f>
        <v>#NAME?</v>
      </c>
      <c r="CK14" s="212" t="e">
        <f ca="1">_xll.BDP($BE14,CK$6,"BEST_FPERIOD_OVERRIDE",CK$5,"BEST_DATA_SOURCE_OVERRIDE","BST","BEST_CONSOLIDATED_OVERRIDE","C")</f>
        <v>#NAME?</v>
      </c>
      <c r="CL14" s="212" t="e">
        <f ca="1">_xll.BDP($BE14,CL$6,"BEST_FPERIOD_OVERRIDE",CL$5,"BEST_DATA_SOURCE_OVERRIDE","BST","BEST_CONSOLIDATED_OVERRIDE","C")</f>
        <v>#NAME?</v>
      </c>
      <c r="CM14" s="212" t="e">
        <f ca="1">_xll.BDP($BE14,CM$6,"BEST_FPERIOD_OVERRIDE",CM$5,"BEST_DATA_SOURCE_OVERRIDE","BST","BEST_CONSOLIDATED_OVERRIDE","C")</f>
        <v>#NAME?</v>
      </c>
      <c r="CN14" s="212" t="e">
        <f ca="1">_xll.BDP($BE14,CN$6,"BEST_FPERIOD_OVERRIDE",CN$5,"BEST_DATA_SOURCE_OVERRIDE","BST","BEST_CONSOLIDATED_OVERRIDE","C")</f>
        <v>#NAME?</v>
      </c>
      <c r="CO14" s="212" t="e">
        <f ca="1">_xll.BDP($BE14,CO$6,"BEST_FPERIOD_OVERRIDE",CO$5,"BEST_DATA_SOURCE_OVERRIDE","BST","BEST_CONSOLIDATED_OVERRIDE","C")</f>
        <v>#NAME?</v>
      </c>
      <c r="CP14" s="212" t="e">
        <f ca="1">_xll.BDP($BE14,CP$6,"BEST_FPERIOD_OVERRIDE",CP$5,"BEST_DATA_SOURCE_OVERRIDE","BST","BEST_CONSOLIDATED_OVERRIDE","C")</f>
        <v>#NAME?</v>
      </c>
      <c r="CQ14" s="212" t="e">
        <f ca="1">_xll.BDP($BE14,CQ$6,"BEST_FPERIOD_OVERRIDE",CQ$5,"BEST_DATA_SOURCE_OVERRIDE","BST","BEST_CONSOLIDATED_OVERRIDE","C")</f>
        <v>#NAME?</v>
      </c>
      <c r="CR14" s="212" t="e">
        <f ca="1">_xll.BDP($BE14,CR$6,"BEST_FPERIOD_OVERRIDE",CR$5,"BEST_DATA_SOURCE_OVERRIDE","BST","BEST_CONSOLIDATED_OVERRIDE","C")</f>
        <v>#NAME?</v>
      </c>
      <c r="CS14" s="212" t="e">
        <f ca="1">_xll.BDP($BE14,CS$6,"BEST_FPERIOD_OVERRIDE",CS$5,"BEST_DATA_SOURCE_OVERRIDE","BST","BEST_CONSOLIDATED_OVERRIDE","C")</f>
        <v>#NAME?</v>
      </c>
      <c r="CT14" s="212" t="e">
        <f ca="1">_xll.BDP($BE14,CT$6,"BEST_FPERIOD_OVERRIDE",CT$5,"BEST_DATA_SOURCE_OVERRIDE","BST","BEST_CONSOLIDATED_OVERRIDE","C")</f>
        <v>#NAME?</v>
      </c>
    </row>
    <row r="15" spans="1:98" s="178" customFormat="1" ht="16.5">
      <c r="A15" s="177" t="e">
        <f t="shared" ca="1" si="3"/>
        <v>#NAME?</v>
      </c>
      <c r="B15" s="178" t="e">
        <f ca="1">_xll.BDP(TEXT($F15,)&amp;" equity",TEXT($B$7,))</f>
        <v>#NAME?</v>
      </c>
      <c r="C15" s="178" t="s">
        <v>199</v>
      </c>
      <c r="D15" s="178" t="e">
        <f ca="1">_xll.BDP(TEXT($B15,)&amp;" Curncy",TEXT($D$7,))</f>
        <v>#NAME?</v>
      </c>
      <c r="E15" s="193" t="e">
        <f ca="1">_xll.BDP(TEXT(BloombergCode,)&amp;" equity","LONG_COMP_NAME")</f>
        <v>#NAME?</v>
      </c>
      <c r="F15" s="194" t="s">
        <v>206</v>
      </c>
      <c r="G15" s="217" t="e">
        <f t="shared" ca="1" si="4"/>
        <v>#NAME?</v>
      </c>
      <c r="H15" s="218" t="e">
        <f t="shared" ca="1" si="5"/>
        <v>#NAME?</v>
      </c>
      <c r="I15" s="197" t="e">
        <f t="shared" ca="1" si="26"/>
        <v>#NAME?</v>
      </c>
      <c r="J15" s="197" t="e">
        <f t="shared" ca="1" si="26"/>
        <v>#NAME?</v>
      </c>
      <c r="K15" s="197" t="e">
        <f t="shared" ca="1" si="26"/>
        <v>#NAME?</v>
      </c>
      <c r="L15" s="197" t="e">
        <f t="shared" ca="1" si="26"/>
        <v>#NAME?</v>
      </c>
      <c r="M15" s="197" t="e">
        <f t="shared" ca="1" si="26"/>
        <v>#NAME?</v>
      </c>
      <c r="N15" s="197" t="e">
        <f t="shared" ca="1" si="26"/>
        <v>#NAME?</v>
      </c>
      <c r="O15" s="197" t="e">
        <f t="shared" ca="1" si="26"/>
        <v>#NAME?</v>
      </c>
      <c r="P15" s="197" t="e">
        <f t="shared" ca="1" si="26"/>
        <v>#NAME?</v>
      </c>
      <c r="Q15" s="197" t="e">
        <f t="shared" ca="1" si="26"/>
        <v>#NAME?</v>
      </c>
      <c r="R15" s="197" t="e">
        <f t="shared" ca="1" si="26"/>
        <v>#NAME?</v>
      </c>
      <c r="S15" s="198" t="e">
        <f t="shared" ca="1" si="7"/>
        <v>#NAME?</v>
      </c>
      <c r="T15" s="197" t="e">
        <f t="shared" ca="1" si="8"/>
        <v>#NAME?</v>
      </c>
      <c r="U15" s="197" t="e">
        <f t="shared" ca="1" si="9"/>
        <v>#NAME?</v>
      </c>
      <c r="V15" s="197" t="e">
        <f t="shared" ca="1" si="10"/>
        <v>#NAME?</v>
      </c>
      <c r="W15" s="197" t="e">
        <f t="shared" ca="1" si="11"/>
        <v>#NAME?</v>
      </c>
      <c r="X15" s="197" t="e">
        <f t="shared" ca="1" si="12"/>
        <v>#NAME?</v>
      </c>
      <c r="Y15" s="197" t="e">
        <f t="shared" ca="1" si="13"/>
        <v>#NAME?</v>
      </c>
      <c r="Z15" s="197" t="e">
        <f t="shared" ca="1" si="14"/>
        <v>#NAME?</v>
      </c>
      <c r="AA15" s="197" t="e">
        <f t="shared" ca="1" si="15"/>
        <v>#NAME?</v>
      </c>
      <c r="AB15" s="197" t="e">
        <f t="shared" ca="1" si="15"/>
        <v>#NAME?</v>
      </c>
      <c r="AC15" s="199" t="e">
        <f t="shared" ca="1" si="24"/>
        <v>#NAME?</v>
      </c>
      <c r="AD15" s="200" t="e">
        <f t="shared" ca="1" si="16"/>
        <v>#NAME?</v>
      </c>
      <c r="AE15" s="200" t="e">
        <f t="shared" ca="1" si="17"/>
        <v>#NAME?</v>
      </c>
      <c r="AF15" s="200" t="e">
        <f t="shared" ca="1" si="18"/>
        <v>#NAME?</v>
      </c>
      <c r="AG15" s="200" t="e">
        <f t="shared" ca="1" si="19"/>
        <v>#NAME?</v>
      </c>
      <c r="AH15" s="200" t="e">
        <f t="shared" ca="1" si="20"/>
        <v>#NAME?</v>
      </c>
      <c r="AI15" s="200" t="e">
        <f t="shared" ca="1" si="21"/>
        <v>#NAME?</v>
      </c>
      <c r="AJ15" s="200" t="e">
        <f t="shared" ca="1" si="21"/>
        <v>#NAME?</v>
      </c>
      <c r="AK15" s="200" t="e">
        <f t="shared" ca="1" si="21"/>
        <v>#NAME?</v>
      </c>
      <c r="AL15" s="200" t="e">
        <f t="shared" ca="1" si="21"/>
        <v>#NAME?</v>
      </c>
      <c r="AM15" s="175"/>
      <c r="AN15" s="148" t="e">
        <f t="shared" ca="1" si="22"/>
        <v>#NAME?</v>
      </c>
      <c r="AO15" s="136"/>
      <c r="AP15" s="187"/>
      <c r="AQ15" s="136"/>
      <c r="AR15" s="188" t="e">
        <f ca="1">IF(LEFT(_xll.BDP(TEXT(BloombergCode,)&amp;" equity",TEXT(BloombergItem,)),1)="#",AV15,_xll.BDP(TEXT(BloombergCode,)&amp;" equity",TEXT(BloombergItem,)))</f>
        <v>#NAME?</v>
      </c>
      <c r="AS15" s="138" t="e">
        <f ca="1">IF(LEFT(_xll.BDP(AR15&amp;" Curncy",TEXT(BloombergItem,)),1)="#",AW15,_xll.BDP(AR15&amp;" Curncy",TEXT(BloombergItem,)))</f>
        <v>#NAME?</v>
      </c>
      <c r="AT15" s="138" t="e">
        <f ca="1">VLOOKUP('Global Properties'!$AR15,#REF!,2,0)</f>
        <v>#NAME?</v>
      </c>
      <c r="AU15" s="189" t="e">
        <f ca="1">_xll.BDP(AR15&amp;" Curncy",TEXT(BloombergItem,))</f>
        <v>#NAME?</v>
      </c>
      <c r="AV15" s="190" t="e">
        <f ca="1">_xll.BDP(TEXT(BloombergCode,)&amp;" equity",TEXT(BloombergItem,))</f>
        <v>#NAME?</v>
      </c>
      <c r="AW15" s="189" t="e">
        <f ca="1">_xll.BDP(AV15&amp;" Curncy",TEXT(BloombergItem,))</f>
        <v>#NAME?</v>
      </c>
      <c r="AX15" s="138" t="e">
        <f ca="1">VLOOKUP('Global Properties'!$AV15,#REF!,2,0)</f>
        <v>#NAME?</v>
      </c>
      <c r="AY15" s="219" t="e">
        <f ca="1">_xll.BDP(TEXT(BloombergCode,)&amp;" equity",TEXT(BloombergItem,))</f>
        <v>#NAME?</v>
      </c>
      <c r="AZ15" s="219" t="e">
        <f ca="1">_xll.BDP(TEXT(BloombergCode,)&amp;" equity",TEXT(BloombergItem,))</f>
        <v>#NAME?</v>
      </c>
      <c r="BA15" s="220" t="e">
        <f ca="1">_xll.BDP(TEXT(BloombergCode,)&amp;" equity",TEXT(BloombergItem,))</f>
        <v>#NAME?</v>
      </c>
      <c r="BB15" s="220" t="e">
        <f ca="1">_xll.BDP(TEXT(BloombergCode,)&amp;" equity",TEXT(BloombergItem,))</f>
        <v>#NAME?</v>
      </c>
      <c r="BC15" s="220" t="e">
        <f ca="1">_xll.BDP(TEXT(BloombergCode,)&amp;" equity",TEXT(BloombergItem,))</f>
        <v>#NAME?</v>
      </c>
      <c r="BD15" s="190"/>
      <c r="BE15" s="139" t="str">
        <f t="shared" si="23"/>
        <v>KIM US equity</v>
      </c>
      <c r="BF15" s="139"/>
      <c r="BH15" s="191"/>
      <c r="BI15" s="191" t="e">
        <f ca="1">_xll.BDP($BE15,BI$6,"BEST_FPERIOD_OVERRIDE",BI$5,"BEST_DATA_SOURCE_OVERRIDE","BST","BEST_CONSOLIDATED_OVERRIDE","C")</f>
        <v>#NAME?</v>
      </c>
      <c r="BJ15" s="191" t="e">
        <f ca="1">_xll.BDP($BE15,BJ$6,"BEST_FPERIOD_OVERRIDE",BJ$5,"BEST_DATA_SOURCE_OVERRIDE","BST","BEST_CONSOLIDATED_OVERRIDE","C")</f>
        <v>#NAME?</v>
      </c>
      <c r="BK15" s="191" t="e">
        <f ca="1">_xll.BDP($BE15,BK$6,"BEST_FPERIOD_OVERRIDE",BK$5,"BEST_DATA_SOURCE_OVERRIDE","BST","BEST_CONSOLIDATED_OVERRIDE","C")</f>
        <v>#NAME?</v>
      </c>
      <c r="BL15" s="191" t="e">
        <f ca="1">_xll.BDP($BE15,BL$6,"BEST_FPERIOD_OVERRIDE",BL$5,"BEST_DATA_SOURCE_OVERRIDE","BST","BEST_CONSOLIDATED_OVERRIDE","C")</f>
        <v>#NAME?</v>
      </c>
      <c r="BM15" s="191" t="e">
        <f ca="1">_xll.BDP($BE15,BM$6,"BEST_FPERIOD_OVERRIDE",BM$5,"BEST_DATA_SOURCE_OVERRIDE","BST","BEST_CONSOLIDATED_OVERRIDE","C")</f>
        <v>#NAME?</v>
      </c>
      <c r="BN15" s="191" t="e">
        <f ca="1">_xll.BDP($BE15,BN$6,"BEST_FPERIOD_OVERRIDE",BN$5,"BEST_DATA_SOURCE_OVERRIDE","BST","BEST_CONSOLIDATED_OVERRIDE","C")</f>
        <v>#NAME?</v>
      </c>
      <c r="BO15" s="191" t="e">
        <f ca="1">_xll.BDP($BE15,BO$6,"BEST_FPERIOD_OVERRIDE",BO$5,"BEST_DATA_SOURCE_OVERRIDE","BST","BEST_CONSOLIDATED_OVERRIDE","C")</f>
        <v>#NAME?</v>
      </c>
      <c r="BP15" s="191" t="e">
        <f ca="1">_xll.BDP($BE15,BP$6,"BEST_FPERIOD_OVERRIDE",BP$5,"BEST_DATA_SOURCE_OVERRIDE","BST","BEST_CONSOLIDATED_OVERRIDE","C")</f>
        <v>#NAME?</v>
      </c>
      <c r="BQ15" s="191" t="e">
        <f ca="1">_xll.BDP($BE15,BQ$6,"BEST_FPERIOD_OVERRIDE",BQ$5,"BEST_DATA_SOURCE_OVERRIDE","BST","BEST_CONSOLIDATED_OVERRIDE","C")</f>
        <v>#NAME?</v>
      </c>
      <c r="BR15" s="191" t="e">
        <f ca="1">_xll.BDP($BE15,BR$6,"BEST_FPERIOD_OVERRIDE",BR$5,"BEST_DATA_SOURCE_OVERRIDE","BST","BEST_CONSOLIDATED_OVERRIDE","C")</f>
        <v>#NAME?</v>
      </c>
      <c r="BS15" s="191" t="e">
        <f ca="1">_xll.BDP($BE15,BS$6,"BEST_FPERIOD_OVERRIDE",BS$5,"BEST_DATA_SOURCE_OVERRIDE","BST","BEST_CONSOLIDATED_OVERRIDE","C")</f>
        <v>#NAME?</v>
      </c>
      <c r="BT15" s="191" t="e">
        <f ca="1">_xll.BDP($BE15,BT$6,"BEST_FPERIOD_OVERRIDE",BT$5,"BEST_DATA_SOURCE_OVERRIDE","BST","BEST_CONSOLIDATED_OVERRIDE","C")</f>
        <v>#NAME?</v>
      </c>
      <c r="BV15" s="191" t="e">
        <f ca="1">_xll.BDP($BE15,BV$6,"BEST_FPERIOD_OVERRIDE",BV$5,"BEST_DATA_SOURCE_OVERRIDE","BST","BEST_CONSOLIDATED_OVERRIDE","C")</f>
        <v>#NAME?</v>
      </c>
      <c r="BW15" s="191" t="e">
        <f ca="1">_xll.BDP($BE15,BW$6,"BEST_FPERIOD_OVERRIDE",BW$5,"BEST_DATA_SOURCE_OVERRIDE","BST","BEST_CONSOLIDATED_OVERRIDE","C")</f>
        <v>#NAME?</v>
      </c>
      <c r="BX15" s="191" t="e">
        <f ca="1">_xll.BDP($BE15,BX$6,"BEST_FPERIOD_OVERRIDE",BX$5,"BEST_DATA_SOURCE_OVERRIDE","BST","BEST_CONSOLIDATED_OVERRIDE","C")</f>
        <v>#NAME?</v>
      </c>
      <c r="BY15" s="191" t="e">
        <f ca="1">_xll.BDP($BE15,BY$6,"BEST_FPERIOD_OVERRIDE",BY$5,"BEST_DATA_SOURCE_OVERRIDE","BST","BEST_CONSOLIDATED_OVERRIDE","C")</f>
        <v>#NAME?</v>
      </c>
      <c r="BZ15" s="191" t="e">
        <f ca="1">_xll.BDP($BE15,BZ$6,"BEST_FPERIOD_OVERRIDE",BZ$5,"BEST_DATA_SOURCE_OVERRIDE","BST","BEST_CONSOLIDATED_OVERRIDE","C")</f>
        <v>#NAME?</v>
      </c>
      <c r="CA15" s="191" t="e">
        <f ca="1">_xll.BDP($BE15,CA$6,"BEST_FPERIOD_OVERRIDE",CA$5,"BEST_DATA_SOURCE_OVERRIDE","BST","BEST_CONSOLIDATED_OVERRIDE","C")</f>
        <v>#NAME?</v>
      </c>
      <c r="CB15" s="191" t="e">
        <f ca="1">_xll.BDP($BE15,CB$6,"BEST_FPERIOD_OVERRIDE",CB$5,"BEST_DATA_SOURCE_OVERRIDE","BST","BEST_CONSOLIDATED_OVERRIDE","C")</f>
        <v>#NAME?</v>
      </c>
      <c r="CC15" s="191" t="e">
        <f ca="1">_xll.BDP($BE15,CC$6,"BEST_FPERIOD_OVERRIDE",CC$5,"BEST_DATA_SOURCE_OVERRIDE","BST","BEST_CONSOLIDATED_OVERRIDE","C")</f>
        <v>#NAME?</v>
      </c>
      <c r="CD15" s="191" t="e">
        <f ca="1">_xll.BDP($BE15,CD$6,"BEST_FPERIOD_OVERRIDE",CD$5,"BEST_DATA_SOURCE_OVERRIDE","BST","BEST_CONSOLIDATED_OVERRIDE","C")</f>
        <v>#NAME?</v>
      </c>
      <c r="CE15" s="191" t="e">
        <f ca="1">_xll.BDP($BE15,CE$6,"BEST_FPERIOD_OVERRIDE",CE$5,"BEST_DATA_SOURCE_OVERRIDE","BST","BEST_CONSOLIDATED_OVERRIDE","C")</f>
        <v>#NAME?</v>
      </c>
      <c r="CF15" s="191" t="e">
        <f ca="1">_xll.BDP($BE15,CF$6,"BEST_FPERIOD_OVERRIDE",CF$5,"BEST_DATA_SOURCE_OVERRIDE","BST","BEST_CONSOLIDATED_OVERRIDE","C")</f>
        <v>#NAME?</v>
      </c>
      <c r="CG15" s="191" t="e">
        <f ca="1">_xll.BDP($BE15,CG$6,"BEST_FPERIOD_OVERRIDE",CG$5,"BEST_DATA_SOURCE_OVERRIDE","BST","BEST_CONSOLIDATED_OVERRIDE","C")</f>
        <v>#NAME?</v>
      </c>
      <c r="CH15" s="191"/>
      <c r="CI15" s="192" t="e">
        <f ca="1">_xll.BDP($BE15,CI$6,"BEST_FPERIOD_OVERRIDE",CI$5,"BEST_DATA_SOURCE_OVERRIDE","BST","BEST_CONSOLIDATED_OVERRIDE","C")</f>
        <v>#NAME?</v>
      </c>
      <c r="CJ15" s="192" t="e">
        <f ca="1">_xll.BDP($BE15,CJ$6,"BEST_FPERIOD_OVERRIDE",CJ$5,"BEST_DATA_SOURCE_OVERRIDE","BST","BEST_CONSOLIDATED_OVERRIDE","C")</f>
        <v>#NAME?</v>
      </c>
      <c r="CK15" s="192" t="e">
        <f ca="1">_xll.BDP($BE15,CK$6,"BEST_FPERIOD_OVERRIDE",CK$5,"BEST_DATA_SOURCE_OVERRIDE","BST","BEST_CONSOLIDATED_OVERRIDE","C")</f>
        <v>#NAME?</v>
      </c>
      <c r="CL15" s="192" t="e">
        <f ca="1">_xll.BDP($BE15,CL$6,"BEST_FPERIOD_OVERRIDE",CL$5,"BEST_DATA_SOURCE_OVERRIDE","BST","BEST_CONSOLIDATED_OVERRIDE","C")</f>
        <v>#NAME?</v>
      </c>
      <c r="CM15" s="192" t="e">
        <f ca="1">_xll.BDP($BE15,CM$6,"BEST_FPERIOD_OVERRIDE",CM$5,"BEST_DATA_SOURCE_OVERRIDE","BST","BEST_CONSOLIDATED_OVERRIDE","C")</f>
        <v>#NAME?</v>
      </c>
      <c r="CN15" s="192" t="e">
        <f ca="1">_xll.BDP($BE15,CN$6,"BEST_FPERIOD_OVERRIDE",CN$5,"BEST_DATA_SOURCE_OVERRIDE","BST","BEST_CONSOLIDATED_OVERRIDE","C")</f>
        <v>#NAME?</v>
      </c>
      <c r="CO15" s="192" t="e">
        <f ca="1">_xll.BDP($BE15,CO$6,"BEST_FPERIOD_OVERRIDE",CO$5,"BEST_DATA_SOURCE_OVERRIDE","BST","BEST_CONSOLIDATED_OVERRIDE","C")</f>
        <v>#NAME?</v>
      </c>
      <c r="CP15" s="192" t="e">
        <f ca="1">_xll.BDP($BE15,CP$6,"BEST_FPERIOD_OVERRIDE",CP$5,"BEST_DATA_SOURCE_OVERRIDE","BST","BEST_CONSOLIDATED_OVERRIDE","C")</f>
        <v>#NAME?</v>
      </c>
      <c r="CQ15" s="192" t="e">
        <f ca="1">_xll.BDP($BE15,CQ$6,"BEST_FPERIOD_OVERRIDE",CQ$5,"BEST_DATA_SOURCE_OVERRIDE","BST","BEST_CONSOLIDATED_OVERRIDE","C")</f>
        <v>#NAME?</v>
      </c>
      <c r="CR15" s="192" t="e">
        <f ca="1">_xll.BDP($BE15,CR$6,"BEST_FPERIOD_OVERRIDE",CR$5,"BEST_DATA_SOURCE_OVERRIDE","BST","BEST_CONSOLIDATED_OVERRIDE","C")</f>
        <v>#NAME?</v>
      </c>
      <c r="CS15" s="192" t="e">
        <f ca="1">_xll.BDP($BE15,CS$6,"BEST_FPERIOD_OVERRIDE",CS$5,"BEST_DATA_SOURCE_OVERRIDE","BST","BEST_CONSOLIDATED_OVERRIDE","C")</f>
        <v>#NAME?</v>
      </c>
      <c r="CT15" s="192" t="e">
        <f ca="1">_xll.BDP($BE15,CT$6,"BEST_FPERIOD_OVERRIDE",CT$5,"BEST_DATA_SOURCE_OVERRIDE","BST","BEST_CONSOLIDATED_OVERRIDE","C")</f>
        <v>#NAME?</v>
      </c>
    </row>
    <row r="16" spans="1:98" s="211" customFormat="1" ht="16.5">
      <c r="A16" s="177" t="e">
        <f t="shared" ca="1" si="3"/>
        <v>#NAME?</v>
      </c>
      <c r="B16" s="178" t="e">
        <f ca="1">_xll.BDP(TEXT($F16,)&amp;" equity",TEXT($B$7,))</f>
        <v>#NAME?</v>
      </c>
      <c r="C16" s="178" t="s">
        <v>199</v>
      </c>
      <c r="D16" s="178" t="e">
        <f ca="1">_xll.BDP(TEXT($B16,)&amp;" Curncy",TEXT($D$7,))</f>
        <v>#NAME?</v>
      </c>
      <c r="E16" s="179" t="e">
        <f ca="1">_xll.BDP(TEXT(BloombergCode,)&amp;" equity","LONG_COMP_NAME")</f>
        <v>#NAME?</v>
      </c>
      <c r="F16" s="180" t="s">
        <v>204</v>
      </c>
      <c r="G16" s="213" t="e">
        <f t="shared" ca="1" si="4"/>
        <v>#NAME?</v>
      </c>
      <c r="H16" s="214" t="e">
        <f t="shared" ca="1" si="5"/>
        <v>#NAME?</v>
      </c>
      <c r="I16" s="183" t="e">
        <f t="shared" ca="1" si="26"/>
        <v>#NAME?</v>
      </c>
      <c r="J16" s="183" t="e">
        <f t="shared" ca="1" si="26"/>
        <v>#NAME?</v>
      </c>
      <c r="K16" s="183" t="e">
        <f t="shared" ca="1" si="26"/>
        <v>#NAME?</v>
      </c>
      <c r="L16" s="183" t="e">
        <f t="shared" ca="1" si="26"/>
        <v>#NAME?</v>
      </c>
      <c r="M16" s="183" t="e">
        <f t="shared" ca="1" si="26"/>
        <v>#NAME?</v>
      </c>
      <c r="N16" s="183" t="e">
        <f t="shared" ca="1" si="26"/>
        <v>#NAME?</v>
      </c>
      <c r="O16" s="183" t="e">
        <f t="shared" ca="1" si="26"/>
        <v>#NAME?</v>
      </c>
      <c r="P16" s="183" t="e">
        <f t="shared" ca="1" si="26"/>
        <v>#NAME?</v>
      </c>
      <c r="Q16" s="183" t="e">
        <f t="shared" ca="1" si="26"/>
        <v>#NAME?</v>
      </c>
      <c r="R16" s="183" t="e">
        <f t="shared" ca="1" si="26"/>
        <v>#NAME?</v>
      </c>
      <c r="S16" s="184" t="e">
        <f t="shared" ca="1" si="7"/>
        <v>#NAME?</v>
      </c>
      <c r="T16" s="183" t="e">
        <f t="shared" ca="1" si="8"/>
        <v>#NAME?</v>
      </c>
      <c r="U16" s="183" t="e">
        <f t="shared" ca="1" si="9"/>
        <v>#NAME?</v>
      </c>
      <c r="V16" s="183" t="e">
        <f t="shared" ca="1" si="10"/>
        <v>#NAME?</v>
      </c>
      <c r="W16" s="183" t="e">
        <f t="shared" ca="1" si="11"/>
        <v>#NAME?</v>
      </c>
      <c r="X16" s="183" t="e">
        <f t="shared" ca="1" si="12"/>
        <v>#NAME?</v>
      </c>
      <c r="Y16" s="183" t="e">
        <f t="shared" ca="1" si="13"/>
        <v>#NAME?</v>
      </c>
      <c r="Z16" s="183" t="e">
        <f t="shared" ca="1" si="14"/>
        <v>#NAME?</v>
      </c>
      <c r="AA16" s="183" t="e">
        <f t="shared" ca="1" si="15"/>
        <v>#NAME?</v>
      </c>
      <c r="AB16" s="183" t="e">
        <f t="shared" ca="1" si="15"/>
        <v>#NAME?</v>
      </c>
      <c r="AC16" s="185" t="e">
        <f t="shared" ca="1" si="24"/>
        <v>#NAME?</v>
      </c>
      <c r="AD16" s="186" t="e">
        <f t="shared" ca="1" si="16"/>
        <v>#NAME?</v>
      </c>
      <c r="AE16" s="186" t="e">
        <f t="shared" ca="1" si="17"/>
        <v>#NAME?</v>
      </c>
      <c r="AF16" s="186" t="e">
        <f t="shared" ca="1" si="18"/>
        <v>#NAME?</v>
      </c>
      <c r="AG16" s="186" t="e">
        <f t="shared" ca="1" si="19"/>
        <v>#NAME?</v>
      </c>
      <c r="AH16" s="186" t="e">
        <f t="shared" ca="1" si="20"/>
        <v>#NAME?</v>
      </c>
      <c r="AI16" s="186" t="e">
        <f t="shared" ca="1" si="21"/>
        <v>#NAME?</v>
      </c>
      <c r="AJ16" s="186" t="e">
        <f t="shared" ca="1" si="21"/>
        <v>#NAME?</v>
      </c>
      <c r="AK16" s="186" t="e">
        <f t="shared" ca="1" si="21"/>
        <v>#NAME?</v>
      </c>
      <c r="AL16" s="186" t="e">
        <f t="shared" ca="1" si="21"/>
        <v>#NAME?</v>
      </c>
      <c r="AM16" s="201"/>
      <c r="AN16" s="202" t="e">
        <f t="shared" ca="1" si="22"/>
        <v>#NAME?</v>
      </c>
      <c r="AO16" s="204"/>
      <c r="AP16" s="204"/>
      <c r="AQ16" s="204"/>
      <c r="AR16" s="205" t="e">
        <f ca="1">IF(LEFT(_xll.BDP(TEXT(BloombergCode,)&amp;" equity",TEXT(BloombergItem,)),1)="#",AV16,_xll.BDP(TEXT(BloombergCode,)&amp;" equity",TEXT(BloombergItem,)))</f>
        <v>#NAME?</v>
      </c>
      <c r="AS16" s="206" t="e">
        <f ca="1">IF(LEFT(_xll.BDP(AR16&amp;" Curncy",TEXT(BloombergItem,)),1)="#",AW16,_xll.BDP(AR16&amp;" Curncy",TEXT(BloombergItem,)))</f>
        <v>#NAME?</v>
      </c>
      <c r="AT16" s="206" t="e">
        <f ca="1">VLOOKUP('Global Properties'!$AR16,#REF!,2,0)</f>
        <v>#NAME?</v>
      </c>
      <c r="AU16" s="207" t="e">
        <f ca="1">_xll.BDP(AR16&amp;" Curncy",TEXT(BloombergItem,))</f>
        <v>#NAME?</v>
      </c>
      <c r="AV16" s="208" t="e">
        <f ca="1">_xll.BDP(TEXT(BloombergCode,)&amp;" equity",TEXT(BloombergItem,))</f>
        <v>#NAME?</v>
      </c>
      <c r="AW16" s="207" t="e">
        <f ca="1">_xll.BDP(AV16&amp;" Curncy",TEXT(BloombergItem,))</f>
        <v>#NAME?</v>
      </c>
      <c r="AX16" s="206" t="e">
        <f ca="1">VLOOKUP('Global Properties'!$AV16,#REF!,2,0)</f>
        <v>#NAME?</v>
      </c>
      <c r="AY16" s="215" t="e">
        <f ca="1">_xll.BDP(TEXT(BloombergCode,)&amp;" equity",TEXT(BloombergItem,))</f>
        <v>#NAME?</v>
      </c>
      <c r="AZ16" s="215" t="e">
        <f ca="1">_xll.BDP(TEXT(BloombergCode,)&amp;" equity",TEXT(BloombergItem,))</f>
        <v>#NAME?</v>
      </c>
      <c r="BA16" s="216" t="e">
        <f ca="1">_xll.BDP(TEXT(BloombergCode,)&amp;" equity",TEXT(BloombergItem,))</f>
        <v>#NAME?</v>
      </c>
      <c r="BB16" s="216" t="e">
        <f ca="1">_xll.BDP(TEXT(BloombergCode,)&amp;" equity",TEXT(BloombergItem,))</f>
        <v>#NAME?</v>
      </c>
      <c r="BC16" s="216" t="e">
        <f ca="1">_xll.BDP(TEXT(BloombergCode,)&amp;" equity",TEXT(BloombergItem,))</f>
        <v>#NAME?</v>
      </c>
      <c r="BD16" s="208"/>
      <c r="BE16" s="209" t="str">
        <f t="shared" si="23"/>
        <v>DDR US equity</v>
      </c>
      <c r="BF16" s="209"/>
      <c r="BH16" s="210"/>
      <c r="BI16" s="210" t="e">
        <f ca="1">_xll.BDP($BE16,BI$6,"BEST_FPERIOD_OVERRIDE",BI$5,"BEST_DATA_SOURCE_OVERRIDE","BST","BEST_CONSOLIDATED_OVERRIDE","C")</f>
        <v>#NAME?</v>
      </c>
      <c r="BJ16" s="210" t="e">
        <f ca="1">_xll.BDP($BE16,BJ$6,"BEST_FPERIOD_OVERRIDE",BJ$5,"BEST_DATA_SOURCE_OVERRIDE","BST","BEST_CONSOLIDATED_OVERRIDE","C")</f>
        <v>#NAME?</v>
      </c>
      <c r="BK16" s="210" t="e">
        <f ca="1">_xll.BDP($BE16,BK$6,"BEST_FPERIOD_OVERRIDE",BK$5,"BEST_DATA_SOURCE_OVERRIDE","BST","BEST_CONSOLIDATED_OVERRIDE","C")</f>
        <v>#NAME?</v>
      </c>
      <c r="BL16" s="210" t="e">
        <f ca="1">_xll.BDP($BE16,BL$6,"BEST_FPERIOD_OVERRIDE",BL$5,"BEST_DATA_SOURCE_OVERRIDE","BST","BEST_CONSOLIDATED_OVERRIDE","C")</f>
        <v>#NAME?</v>
      </c>
      <c r="BM16" s="210" t="e">
        <f ca="1">_xll.BDP($BE16,BM$6,"BEST_FPERIOD_OVERRIDE",BM$5,"BEST_DATA_SOURCE_OVERRIDE","BST","BEST_CONSOLIDATED_OVERRIDE","C")</f>
        <v>#NAME?</v>
      </c>
      <c r="BN16" s="210" t="e">
        <f ca="1">_xll.BDP($BE16,BN$6,"BEST_FPERIOD_OVERRIDE",BN$5,"BEST_DATA_SOURCE_OVERRIDE","BST","BEST_CONSOLIDATED_OVERRIDE","C")</f>
        <v>#NAME?</v>
      </c>
      <c r="BO16" s="210" t="e">
        <f ca="1">_xll.BDP($BE16,BO$6,"BEST_FPERIOD_OVERRIDE",BO$5,"BEST_DATA_SOURCE_OVERRIDE","BST","BEST_CONSOLIDATED_OVERRIDE","C")</f>
        <v>#NAME?</v>
      </c>
      <c r="BP16" s="210" t="e">
        <f ca="1">_xll.BDP($BE16,BP$6,"BEST_FPERIOD_OVERRIDE",BP$5,"BEST_DATA_SOURCE_OVERRIDE","BST","BEST_CONSOLIDATED_OVERRIDE","C")</f>
        <v>#NAME?</v>
      </c>
      <c r="BQ16" s="210" t="e">
        <f ca="1">_xll.BDP($BE16,BQ$6,"BEST_FPERIOD_OVERRIDE",BQ$5,"BEST_DATA_SOURCE_OVERRIDE","BST","BEST_CONSOLIDATED_OVERRIDE","C")</f>
        <v>#NAME?</v>
      </c>
      <c r="BR16" s="210" t="e">
        <f ca="1">_xll.BDP($BE16,BR$6,"BEST_FPERIOD_OVERRIDE",BR$5,"BEST_DATA_SOURCE_OVERRIDE","BST","BEST_CONSOLIDATED_OVERRIDE","C")</f>
        <v>#NAME?</v>
      </c>
      <c r="BS16" s="210" t="e">
        <f ca="1">_xll.BDP($BE16,BS$6,"BEST_FPERIOD_OVERRIDE",BS$5,"BEST_DATA_SOURCE_OVERRIDE","BST","BEST_CONSOLIDATED_OVERRIDE","C")</f>
        <v>#NAME?</v>
      </c>
      <c r="BT16" s="210" t="e">
        <f ca="1">_xll.BDP($BE16,BT$6,"BEST_FPERIOD_OVERRIDE",BT$5,"BEST_DATA_SOURCE_OVERRIDE","BST","BEST_CONSOLIDATED_OVERRIDE","C")</f>
        <v>#NAME?</v>
      </c>
      <c r="BV16" s="210" t="e">
        <f ca="1">_xll.BDP($BE16,BV$6,"BEST_FPERIOD_OVERRIDE",BV$5,"BEST_DATA_SOURCE_OVERRIDE","BST","BEST_CONSOLIDATED_OVERRIDE","C")</f>
        <v>#NAME?</v>
      </c>
      <c r="BW16" s="210" t="e">
        <f ca="1">_xll.BDP($BE16,BW$6,"BEST_FPERIOD_OVERRIDE",BW$5,"BEST_DATA_SOURCE_OVERRIDE","BST","BEST_CONSOLIDATED_OVERRIDE","C")</f>
        <v>#NAME?</v>
      </c>
      <c r="BX16" s="210" t="e">
        <f ca="1">_xll.BDP($BE16,BX$6,"BEST_FPERIOD_OVERRIDE",BX$5,"BEST_DATA_SOURCE_OVERRIDE","BST","BEST_CONSOLIDATED_OVERRIDE","C")</f>
        <v>#NAME?</v>
      </c>
      <c r="BY16" s="210" t="e">
        <f ca="1">_xll.BDP($BE16,BY$6,"BEST_FPERIOD_OVERRIDE",BY$5,"BEST_DATA_SOURCE_OVERRIDE","BST","BEST_CONSOLIDATED_OVERRIDE","C")</f>
        <v>#NAME?</v>
      </c>
      <c r="BZ16" s="210" t="e">
        <f ca="1">_xll.BDP($BE16,BZ$6,"BEST_FPERIOD_OVERRIDE",BZ$5,"BEST_DATA_SOURCE_OVERRIDE","BST","BEST_CONSOLIDATED_OVERRIDE","C")</f>
        <v>#NAME?</v>
      </c>
      <c r="CA16" s="210" t="e">
        <f ca="1">_xll.BDP($BE16,CA$6,"BEST_FPERIOD_OVERRIDE",CA$5,"BEST_DATA_SOURCE_OVERRIDE","BST","BEST_CONSOLIDATED_OVERRIDE","C")</f>
        <v>#NAME?</v>
      </c>
      <c r="CB16" s="210" t="e">
        <f ca="1">_xll.BDP($BE16,CB$6,"BEST_FPERIOD_OVERRIDE",CB$5,"BEST_DATA_SOURCE_OVERRIDE","BST","BEST_CONSOLIDATED_OVERRIDE","C")</f>
        <v>#NAME?</v>
      </c>
      <c r="CC16" s="210" t="e">
        <f ca="1">_xll.BDP($BE16,CC$6,"BEST_FPERIOD_OVERRIDE",CC$5,"BEST_DATA_SOURCE_OVERRIDE","BST","BEST_CONSOLIDATED_OVERRIDE","C")</f>
        <v>#NAME?</v>
      </c>
      <c r="CD16" s="210" t="e">
        <f ca="1">_xll.BDP($BE16,CD$6,"BEST_FPERIOD_OVERRIDE",CD$5,"BEST_DATA_SOURCE_OVERRIDE","BST","BEST_CONSOLIDATED_OVERRIDE","C")</f>
        <v>#NAME?</v>
      </c>
      <c r="CE16" s="210" t="e">
        <f ca="1">_xll.BDP($BE16,CE$6,"BEST_FPERIOD_OVERRIDE",CE$5,"BEST_DATA_SOURCE_OVERRIDE","BST","BEST_CONSOLIDATED_OVERRIDE","C")</f>
        <v>#NAME?</v>
      </c>
      <c r="CF16" s="210" t="e">
        <f ca="1">_xll.BDP($BE16,CF$6,"BEST_FPERIOD_OVERRIDE",CF$5,"BEST_DATA_SOURCE_OVERRIDE","BST","BEST_CONSOLIDATED_OVERRIDE","C")</f>
        <v>#NAME?</v>
      </c>
      <c r="CG16" s="210" t="e">
        <f ca="1">_xll.BDP($BE16,CG$6,"BEST_FPERIOD_OVERRIDE",CG$5,"BEST_DATA_SOURCE_OVERRIDE","BST","BEST_CONSOLIDATED_OVERRIDE","C")</f>
        <v>#NAME?</v>
      </c>
      <c r="CH16" s="210"/>
      <c r="CI16" s="212" t="e">
        <f ca="1">_xll.BDP($BE16,CI$6,"BEST_FPERIOD_OVERRIDE",CI$5,"BEST_DATA_SOURCE_OVERRIDE","BST","BEST_CONSOLIDATED_OVERRIDE","C")</f>
        <v>#NAME?</v>
      </c>
      <c r="CJ16" s="212" t="e">
        <f ca="1">_xll.BDP($BE16,CJ$6,"BEST_FPERIOD_OVERRIDE",CJ$5,"BEST_DATA_SOURCE_OVERRIDE","BST","BEST_CONSOLIDATED_OVERRIDE","C")</f>
        <v>#NAME?</v>
      </c>
      <c r="CK16" s="212" t="e">
        <f ca="1">_xll.BDP($BE16,CK$6,"BEST_FPERIOD_OVERRIDE",CK$5,"BEST_DATA_SOURCE_OVERRIDE","BST","BEST_CONSOLIDATED_OVERRIDE","C")</f>
        <v>#NAME?</v>
      </c>
      <c r="CL16" s="212" t="e">
        <f ca="1">_xll.BDP($BE16,CL$6,"BEST_FPERIOD_OVERRIDE",CL$5,"BEST_DATA_SOURCE_OVERRIDE","BST","BEST_CONSOLIDATED_OVERRIDE","C")</f>
        <v>#NAME?</v>
      </c>
      <c r="CM16" s="212" t="e">
        <f ca="1">_xll.BDP($BE16,CM$6,"BEST_FPERIOD_OVERRIDE",CM$5,"BEST_DATA_SOURCE_OVERRIDE","BST","BEST_CONSOLIDATED_OVERRIDE","C")</f>
        <v>#NAME?</v>
      </c>
      <c r="CN16" s="212" t="e">
        <f ca="1">_xll.BDP($BE16,CN$6,"BEST_FPERIOD_OVERRIDE",CN$5,"BEST_DATA_SOURCE_OVERRIDE","BST","BEST_CONSOLIDATED_OVERRIDE","C")</f>
        <v>#NAME?</v>
      </c>
      <c r="CO16" s="212" t="e">
        <f ca="1">_xll.BDP($BE16,CO$6,"BEST_FPERIOD_OVERRIDE",CO$5,"BEST_DATA_SOURCE_OVERRIDE","BST","BEST_CONSOLIDATED_OVERRIDE","C")</f>
        <v>#NAME?</v>
      </c>
      <c r="CP16" s="212" t="e">
        <f ca="1">_xll.BDP($BE16,CP$6,"BEST_FPERIOD_OVERRIDE",CP$5,"BEST_DATA_SOURCE_OVERRIDE","BST","BEST_CONSOLIDATED_OVERRIDE","C")</f>
        <v>#NAME?</v>
      </c>
      <c r="CQ16" s="212" t="e">
        <f ca="1">_xll.BDP($BE16,CQ$6,"BEST_FPERIOD_OVERRIDE",CQ$5,"BEST_DATA_SOURCE_OVERRIDE","BST","BEST_CONSOLIDATED_OVERRIDE","C")</f>
        <v>#NAME?</v>
      </c>
      <c r="CR16" s="212" t="e">
        <f ca="1">_xll.BDP($BE16,CR$6,"BEST_FPERIOD_OVERRIDE",CR$5,"BEST_DATA_SOURCE_OVERRIDE","BST","BEST_CONSOLIDATED_OVERRIDE","C")</f>
        <v>#NAME?</v>
      </c>
      <c r="CS16" s="212" t="e">
        <f ca="1">_xll.BDP($BE16,CS$6,"BEST_FPERIOD_OVERRIDE",CS$5,"BEST_DATA_SOURCE_OVERRIDE","BST","BEST_CONSOLIDATED_OVERRIDE","C")</f>
        <v>#NAME?</v>
      </c>
      <c r="CT16" s="212" t="e">
        <f ca="1">_xll.BDP($BE16,CT$6,"BEST_FPERIOD_OVERRIDE",CT$5,"BEST_DATA_SOURCE_OVERRIDE","BST","BEST_CONSOLIDATED_OVERRIDE","C")</f>
        <v>#NAME?</v>
      </c>
    </row>
    <row r="17" spans="1:98" s="178" customFormat="1" ht="16.5">
      <c r="A17" s="177" t="e">
        <f t="shared" ca="1" si="3"/>
        <v>#NAME?</v>
      </c>
      <c r="B17" s="178" t="e">
        <f ca="1">_xll.BDP(TEXT($F17,)&amp;" equity",TEXT($B$7,))</f>
        <v>#NAME?</v>
      </c>
      <c r="C17" s="178" t="s">
        <v>199</v>
      </c>
      <c r="D17" s="178" t="e">
        <f ca="1">_xll.BDP(TEXT($B17,)&amp;" Curncy",TEXT($D$7,))</f>
        <v>#NAME?</v>
      </c>
      <c r="E17" s="193" t="e">
        <f ca="1">_xll.BDP(TEXT(BloombergCode,)&amp;" equity","LONG_COMP_NAME")</f>
        <v>#NAME?</v>
      </c>
      <c r="F17" s="194" t="s">
        <v>205</v>
      </c>
      <c r="G17" s="217" t="e">
        <f t="shared" ca="1" si="4"/>
        <v>#NAME?</v>
      </c>
      <c r="H17" s="218" t="e">
        <f t="shared" ca="1" si="5"/>
        <v>#NAME?</v>
      </c>
      <c r="I17" s="197" t="e">
        <f t="shared" ca="1" si="26"/>
        <v>#NAME?</v>
      </c>
      <c r="J17" s="197" t="e">
        <f t="shared" ca="1" si="26"/>
        <v>#NAME?</v>
      </c>
      <c r="K17" s="197" t="e">
        <f t="shared" ca="1" si="26"/>
        <v>#NAME?</v>
      </c>
      <c r="L17" s="197" t="e">
        <f t="shared" ca="1" si="26"/>
        <v>#NAME?</v>
      </c>
      <c r="M17" s="197" t="e">
        <f t="shared" ca="1" si="26"/>
        <v>#NAME?</v>
      </c>
      <c r="N17" s="197" t="e">
        <f t="shared" ca="1" si="26"/>
        <v>#NAME?</v>
      </c>
      <c r="O17" s="197" t="e">
        <f t="shared" ca="1" si="26"/>
        <v>#NAME?</v>
      </c>
      <c r="P17" s="197" t="e">
        <f t="shared" ca="1" si="26"/>
        <v>#NAME?</v>
      </c>
      <c r="Q17" s="197" t="e">
        <f t="shared" ca="1" si="26"/>
        <v>#NAME?</v>
      </c>
      <c r="R17" s="197" t="e">
        <f t="shared" ca="1" si="26"/>
        <v>#NAME?</v>
      </c>
      <c r="S17" s="198" t="e">
        <f t="shared" ca="1" si="7"/>
        <v>#NAME?</v>
      </c>
      <c r="T17" s="197" t="e">
        <f t="shared" ca="1" si="8"/>
        <v>#NAME?</v>
      </c>
      <c r="U17" s="197" t="e">
        <f t="shared" ca="1" si="9"/>
        <v>#NAME?</v>
      </c>
      <c r="V17" s="197" t="e">
        <f t="shared" ca="1" si="10"/>
        <v>#NAME?</v>
      </c>
      <c r="W17" s="197" t="e">
        <f t="shared" ca="1" si="11"/>
        <v>#NAME?</v>
      </c>
      <c r="X17" s="197" t="e">
        <f t="shared" ca="1" si="12"/>
        <v>#NAME?</v>
      </c>
      <c r="Y17" s="197" t="e">
        <f t="shared" ca="1" si="13"/>
        <v>#NAME?</v>
      </c>
      <c r="Z17" s="197" t="e">
        <f t="shared" ca="1" si="14"/>
        <v>#NAME?</v>
      </c>
      <c r="AA17" s="197" t="e">
        <f t="shared" ca="1" si="15"/>
        <v>#NAME?</v>
      </c>
      <c r="AB17" s="197" t="e">
        <f t="shared" ca="1" si="15"/>
        <v>#NAME?</v>
      </c>
      <c r="AC17" s="199" t="e">
        <f t="shared" ca="1" si="24"/>
        <v>#NAME?</v>
      </c>
      <c r="AD17" s="200" t="e">
        <f t="shared" ca="1" si="16"/>
        <v>#NAME?</v>
      </c>
      <c r="AE17" s="200" t="e">
        <f t="shared" ca="1" si="17"/>
        <v>#NAME?</v>
      </c>
      <c r="AF17" s="200" t="e">
        <f t="shared" ca="1" si="18"/>
        <v>#NAME?</v>
      </c>
      <c r="AG17" s="200" t="e">
        <f t="shared" ca="1" si="19"/>
        <v>#NAME?</v>
      </c>
      <c r="AH17" s="200" t="e">
        <f t="shared" ca="1" si="20"/>
        <v>#NAME?</v>
      </c>
      <c r="AI17" s="200" t="e">
        <f t="shared" ca="1" si="21"/>
        <v>#NAME?</v>
      </c>
      <c r="AJ17" s="200" t="e">
        <f t="shared" ca="1" si="21"/>
        <v>#NAME?</v>
      </c>
      <c r="AK17" s="200" t="e">
        <f t="shared" ca="1" si="21"/>
        <v>#NAME?</v>
      </c>
      <c r="AL17" s="200" t="e">
        <f t="shared" ca="1" si="21"/>
        <v>#NAME?</v>
      </c>
      <c r="AM17" s="175"/>
      <c r="AN17" s="148" t="e">
        <f t="shared" ca="1" si="22"/>
        <v>#NAME?</v>
      </c>
      <c r="AO17" s="136"/>
      <c r="AP17" s="187"/>
      <c r="AQ17" s="136"/>
      <c r="AR17" s="188" t="e">
        <f ca="1">IF(LEFT(_xll.BDP(TEXT(BloombergCode,)&amp;" equity",TEXT(BloombergItem,)),1)="#",AV17,_xll.BDP(TEXT(BloombergCode,)&amp;" equity",TEXT(BloombergItem,)))</f>
        <v>#NAME?</v>
      </c>
      <c r="AS17" s="138" t="e">
        <f ca="1">IF(LEFT(_xll.BDP(AR17&amp;" Curncy",TEXT(BloombergItem,)),1)="#",AW17,_xll.BDP(AR17&amp;" Curncy",TEXT(BloombergItem,)))</f>
        <v>#NAME?</v>
      </c>
      <c r="AT17" s="138" t="e">
        <f ca="1">VLOOKUP('Global Properties'!$AR17,#REF!,2,0)</f>
        <v>#NAME?</v>
      </c>
      <c r="AU17" s="189" t="e">
        <f ca="1">_xll.BDP(AR17&amp;" Curncy",TEXT(BloombergItem,))</f>
        <v>#NAME?</v>
      </c>
      <c r="AV17" s="190" t="e">
        <f ca="1">_xll.BDP(TEXT(BloombergCode,)&amp;" equity",TEXT(BloombergItem,))</f>
        <v>#NAME?</v>
      </c>
      <c r="AW17" s="189" t="e">
        <f ca="1">_xll.BDP(AV17&amp;" Curncy",TEXT(BloombergItem,))</f>
        <v>#NAME?</v>
      </c>
      <c r="AX17" s="138" t="e">
        <f ca="1">VLOOKUP('Global Properties'!$AV17,#REF!,2,0)</f>
        <v>#NAME?</v>
      </c>
      <c r="AY17" s="219" t="e">
        <f ca="1">_xll.BDP(TEXT(BloombergCode,)&amp;" equity",TEXT(BloombergItem,))</f>
        <v>#NAME?</v>
      </c>
      <c r="AZ17" s="219" t="e">
        <f ca="1">_xll.BDP(TEXT(BloombergCode,)&amp;" equity",TEXT(BloombergItem,))</f>
        <v>#NAME?</v>
      </c>
      <c r="BA17" s="220" t="e">
        <f ca="1">_xll.BDP(TEXT(BloombergCode,)&amp;" equity",TEXT(BloombergItem,))</f>
        <v>#NAME?</v>
      </c>
      <c r="BB17" s="220" t="e">
        <f ca="1">_xll.BDP(TEXT(BloombergCode,)&amp;" equity",TEXT(BloombergItem,))</f>
        <v>#NAME?</v>
      </c>
      <c r="BC17" s="220" t="e">
        <f ca="1">_xll.BDP(TEXT(BloombergCode,)&amp;" equity",TEXT(BloombergItem,))</f>
        <v>#NAME?</v>
      </c>
      <c r="BD17" s="190"/>
      <c r="BE17" s="139" t="str">
        <f t="shared" si="23"/>
        <v>REG US equity</v>
      </c>
      <c r="BF17" s="139"/>
      <c r="BH17" s="191"/>
      <c r="BI17" s="191" t="e">
        <f ca="1">_xll.BDP($BE17,BI$6,"BEST_FPERIOD_OVERRIDE",BI$5,"BEST_DATA_SOURCE_OVERRIDE","BST","BEST_CONSOLIDATED_OVERRIDE","C")</f>
        <v>#NAME?</v>
      </c>
      <c r="BJ17" s="191" t="e">
        <f ca="1">_xll.BDP($BE17,BJ$6,"BEST_FPERIOD_OVERRIDE",BJ$5,"BEST_DATA_SOURCE_OVERRIDE","BST","BEST_CONSOLIDATED_OVERRIDE","C")</f>
        <v>#NAME?</v>
      </c>
      <c r="BK17" s="191" t="e">
        <f ca="1">_xll.BDP($BE17,BK$6,"BEST_FPERIOD_OVERRIDE",BK$5,"BEST_DATA_SOURCE_OVERRIDE","BST","BEST_CONSOLIDATED_OVERRIDE","C")</f>
        <v>#NAME?</v>
      </c>
      <c r="BL17" s="191" t="e">
        <f ca="1">_xll.BDP($BE17,BL$6,"BEST_FPERIOD_OVERRIDE",BL$5,"BEST_DATA_SOURCE_OVERRIDE","BST","BEST_CONSOLIDATED_OVERRIDE","C")</f>
        <v>#NAME?</v>
      </c>
      <c r="BM17" s="191" t="e">
        <f ca="1">_xll.BDP($BE17,BM$6,"BEST_FPERIOD_OVERRIDE",BM$5,"BEST_DATA_SOURCE_OVERRIDE","BST","BEST_CONSOLIDATED_OVERRIDE","C")</f>
        <v>#NAME?</v>
      </c>
      <c r="BN17" s="191" t="e">
        <f ca="1">_xll.BDP($BE17,BN$6,"BEST_FPERIOD_OVERRIDE",BN$5,"BEST_DATA_SOURCE_OVERRIDE","BST","BEST_CONSOLIDATED_OVERRIDE","C")</f>
        <v>#NAME?</v>
      </c>
      <c r="BO17" s="191" t="e">
        <f ca="1">_xll.BDP($BE17,BO$6,"BEST_FPERIOD_OVERRIDE",BO$5,"BEST_DATA_SOURCE_OVERRIDE","BST","BEST_CONSOLIDATED_OVERRIDE","C")</f>
        <v>#NAME?</v>
      </c>
      <c r="BP17" s="191" t="e">
        <f ca="1">_xll.BDP($BE17,BP$6,"BEST_FPERIOD_OVERRIDE",BP$5,"BEST_DATA_SOURCE_OVERRIDE","BST","BEST_CONSOLIDATED_OVERRIDE","C")</f>
        <v>#NAME?</v>
      </c>
      <c r="BQ17" s="191" t="e">
        <f ca="1">_xll.BDP($BE17,BQ$6,"BEST_FPERIOD_OVERRIDE",BQ$5,"BEST_DATA_SOURCE_OVERRIDE","BST","BEST_CONSOLIDATED_OVERRIDE","C")</f>
        <v>#NAME?</v>
      </c>
      <c r="BR17" s="191" t="e">
        <f ca="1">_xll.BDP($BE17,BR$6,"BEST_FPERIOD_OVERRIDE",BR$5,"BEST_DATA_SOURCE_OVERRIDE","BST","BEST_CONSOLIDATED_OVERRIDE","C")</f>
        <v>#NAME?</v>
      </c>
      <c r="BS17" s="191" t="e">
        <f ca="1">_xll.BDP($BE17,BS$6,"BEST_FPERIOD_OVERRIDE",BS$5,"BEST_DATA_SOURCE_OVERRIDE","BST","BEST_CONSOLIDATED_OVERRIDE","C")</f>
        <v>#NAME?</v>
      </c>
      <c r="BT17" s="191" t="e">
        <f ca="1">_xll.BDP($BE17,BT$6,"BEST_FPERIOD_OVERRIDE",BT$5,"BEST_DATA_SOURCE_OVERRIDE","BST","BEST_CONSOLIDATED_OVERRIDE","C")</f>
        <v>#NAME?</v>
      </c>
      <c r="BV17" s="191" t="e">
        <f ca="1">_xll.BDP($BE17,BV$6,"BEST_FPERIOD_OVERRIDE",BV$5,"BEST_DATA_SOURCE_OVERRIDE","BST","BEST_CONSOLIDATED_OVERRIDE","C")</f>
        <v>#NAME?</v>
      </c>
      <c r="BW17" s="191" t="e">
        <f ca="1">_xll.BDP($BE17,BW$6,"BEST_FPERIOD_OVERRIDE",BW$5,"BEST_DATA_SOURCE_OVERRIDE","BST","BEST_CONSOLIDATED_OVERRIDE","C")</f>
        <v>#NAME?</v>
      </c>
      <c r="BX17" s="191" t="e">
        <f ca="1">_xll.BDP($BE17,BX$6,"BEST_FPERIOD_OVERRIDE",BX$5,"BEST_DATA_SOURCE_OVERRIDE","BST","BEST_CONSOLIDATED_OVERRIDE","C")</f>
        <v>#NAME?</v>
      </c>
      <c r="BY17" s="191" t="e">
        <f ca="1">_xll.BDP($BE17,BY$6,"BEST_FPERIOD_OVERRIDE",BY$5,"BEST_DATA_SOURCE_OVERRIDE","BST","BEST_CONSOLIDATED_OVERRIDE","C")</f>
        <v>#NAME?</v>
      </c>
      <c r="BZ17" s="191" t="e">
        <f ca="1">_xll.BDP($BE17,BZ$6,"BEST_FPERIOD_OVERRIDE",BZ$5,"BEST_DATA_SOURCE_OVERRIDE","BST","BEST_CONSOLIDATED_OVERRIDE","C")</f>
        <v>#NAME?</v>
      </c>
      <c r="CA17" s="191" t="e">
        <f ca="1">_xll.BDP($BE17,CA$6,"BEST_FPERIOD_OVERRIDE",CA$5,"BEST_DATA_SOURCE_OVERRIDE","BST","BEST_CONSOLIDATED_OVERRIDE","C")</f>
        <v>#NAME?</v>
      </c>
      <c r="CB17" s="191" t="e">
        <f ca="1">_xll.BDP($BE17,CB$6,"BEST_FPERIOD_OVERRIDE",CB$5,"BEST_DATA_SOURCE_OVERRIDE","BST","BEST_CONSOLIDATED_OVERRIDE","C")</f>
        <v>#NAME?</v>
      </c>
      <c r="CC17" s="191" t="e">
        <f ca="1">_xll.BDP($BE17,CC$6,"BEST_FPERIOD_OVERRIDE",CC$5,"BEST_DATA_SOURCE_OVERRIDE","BST","BEST_CONSOLIDATED_OVERRIDE","C")</f>
        <v>#NAME?</v>
      </c>
      <c r="CD17" s="191" t="e">
        <f ca="1">_xll.BDP($BE17,CD$6,"BEST_FPERIOD_OVERRIDE",CD$5,"BEST_DATA_SOURCE_OVERRIDE","BST","BEST_CONSOLIDATED_OVERRIDE","C")</f>
        <v>#NAME?</v>
      </c>
      <c r="CE17" s="191" t="e">
        <f ca="1">_xll.BDP($BE17,CE$6,"BEST_FPERIOD_OVERRIDE",CE$5,"BEST_DATA_SOURCE_OVERRIDE","BST","BEST_CONSOLIDATED_OVERRIDE","C")</f>
        <v>#NAME?</v>
      </c>
      <c r="CF17" s="191" t="e">
        <f ca="1">_xll.BDP($BE17,CF$6,"BEST_FPERIOD_OVERRIDE",CF$5,"BEST_DATA_SOURCE_OVERRIDE","BST","BEST_CONSOLIDATED_OVERRIDE","C")</f>
        <v>#NAME?</v>
      </c>
      <c r="CG17" s="191" t="e">
        <f ca="1">_xll.BDP($BE17,CG$6,"BEST_FPERIOD_OVERRIDE",CG$5,"BEST_DATA_SOURCE_OVERRIDE","BST","BEST_CONSOLIDATED_OVERRIDE","C")</f>
        <v>#NAME?</v>
      </c>
      <c r="CH17" s="191"/>
      <c r="CI17" s="192" t="e">
        <f ca="1">_xll.BDP($BE17,CI$6,"BEST_FPERIOD_OVERRIDE",CI$5,"BEST_DATA_SOURCE_OVERRIDE","BST","BEST_CONSOLIDATED_OVERRIDE","C")</f>
        <v>#NAME?</v>
      </c>
      <c r="CJ17" s="192" t="e">
        <f ca="1">_xll.BDP($BE17,CJ$6,"BEST_FPERIOD_OVERRIDE",CJ$5,"BEST_DATA_SOURCE_OVERRIDE","BST","BEST_CONSOLIDATED_OVERRIDE","C")</f>
        <v>#NAME?</v>
      </c>
      <c r="CK17" s="192" t="e">
        <f ca="1">_xll.BDP($BE17,CK$6,"BEST_FPERIOD_OVERRIDE",CK$5,"BEST_DATA_SOURCE_OVERRIDE","BST","BEST_CONSOLIDATED_OVERRIDE","C")</f>
        <v>#NAME?</v>
      </c>
      <c r="CL17" s="192" t="e">
        <f ca="1">_xll.BDP($BE17,CL$6,"BEST_FPERIOD_OVERRIDE",CL$5,"BEST_DATA_SOURCE_OVERRIDE","BST","BEST_CONSOLIDATED_OVERRIDE","C")</f>
        <v>#NAME?</v>
      </c>
      <c r="CM17" s="192" t="e">
        <f ca="1">_xll.BDP($BE17,CM$6,"BEST_FPERIOD_OVERRIDE",CM$5,"BEST_DATA_SOURCE_OVERRIDE","BST","BEST_CONSOLIDATED_OVERRIDE","C")</f>
        <v>#NAME?</v>
      </c>
      <c r="CN17" s="192" t="e">
        <f ca="1">_xll.BDP($BE17,CN$6,"BEST_FPERIOD_OVERRIDE",CN$5,"BEST_DATA_SOURCE_OVERRIDE","BST","BEST_CONSOLIDATED_OVERRIDE","C")</f>
        <v>#NAME?</v>
      </c>
      <c r="CO17" s="192" t="e">
        <f ca="1">_xll.BDP($BE17,CO$6,"BEST_FPERIOD_OVERRIDE",CO$5,"BEST_DATA_SOURCE_OVERRIDE","BST","BEST_CONSOLIDATED_OVERRIDE","C")</f>
        <v>#NAME?</v>
      </c>
      <c r="CP17" s="192" t="e">
        <f ca="1">_xll.BDP($BE17,CP$6,"BEST_FPERIOD_OVERRIDE",CP$5,"BEST_DATA_SOURCE_OVERRIDE","BST","BEST_CONSOLIDATED_OVERRIDE","C")</f>
        <v>#NAME?</v>
      </c>
      <c r="CQ17" s="192" t="e">
        <f ca="1">_xll.BDP($BE17,CQ$6,"BEST_FPERIOD_OVERRIDE",CQ$5,"BEST_DATA_SOURCE_OVERRIDE","BST","BEST_CONSOLIDATED_OVERRIDE","C")</f>
        <v>#NAME?</v>
      </c>
      <c r="CR17" s="192" t="e">
        <f ca="1">_xll.BDP($BE17,CR$6,"BEST_FPERIOD_OVERRIDE",CR$5,"BEST_DATA_SOURCE_OVERRIDE","BST","BEST_CONSOLIDATED_OVERRIDE","C")</f>
        <v>#NAME?</v>
      </c>
      <c r="CS17" s="192" t="e">
        <f ca="1">_xll.BDP($BE17,CS$6,"BEST_FPERIOD_OVERRIDE",CS$5,"BEST_DATA_SOURCE_OVERRIDE","BST","BEST_CONSOLIDATED_OVERRIDE","C")</f>
        <v>#NAME?</v>
      </c>
      <c r="CT17" s="192" t="e">
        <f ca="1">_xll.BDP($BE17,CT$6,"BEST_FPERIOD_OVERRIDE",CT$5,"BEST_DATA_SOURCE_OVERRIDE","BST","BEST_CONSOLIDATED_OVERRIDE","C")</f>
        <v>#NAME?</v>
      </c>
    </row>
    <row r="18" spans="1:98" s="211" customFormat="1" ht="16.5" outlineLevel="1">
      <c r="A18" s="177" t="e">
        <f t="shared" ca="1" si="3"/>
        <v>#NAME?</v>
      </c>
      <c r="B18" s="178" t="e">
        <f ca="1">_xll.BDP(TEXT($F18,)&amp;" equity",TEXT($B$7,))</f>
        <v>#NAME?</v>
      </c>
      <c r="C18" s="178" t="s">
        <v>199</v>
      </c>
      <c r="D18" s="178" t="e">
        <f ca="1">_xll.BDP(TEXT($B18,)&amp;" Curncy",TEXT($D$7,))</f>
        <v>#NAME?</v>
      </c>
      <c r="E18" s="179" t="e">
        <f ca="1">_xll.BDP(TEXT(BloombergCode,)&amp;" equity","LONG_COMP_NAME")</f>
        <v>#NAME?</v>
      </c>
      <c r="F18" s="180" t="s">
        <v>202</v>
      </c>
      <c r="G18" s="213" t="e">
        <f t="shared" ca="1" si="4"/>
        <v>#NAME?</v>
      </c>
      <c r="H18" s="214" t="e">
        <f t="shared" ca="1" si="5"/>
        <v>#NAME?</v>
      </c>
      <c r="I18" s="221" t="e">
        <f t="shared" ca="1" si="26"/>
        <v>#NAME?</v>
      </c>
      <c r="J18" s="221" t="e">
        <f t="shared" ca="1" si="26"/>
        <v>#NAME?</v>
      </c>
      <c r="K18" s="221" t="e">
        <f t="shared" ca="1" si="26"/>
        <v>#NAME?</v>
      </c>
      <c r="L18" s="221" t="e">
        <f t="shared" ca="1" si="26"/>
        <v>#NAME?</v>
      </c>
      <c r="M18" s="221" t="e">
        <f t="shared" ca="1" si="26"/>
        <v>#NAME?</v>
      </c>
      <c r="N18" s="221" t="e">
        <f t="shared" ca="1" si="26"/>
        <v>#NAME?</v>
      </c>
      <c r="O18" s="221" t="e">
        <f t="shared" ca="1" si="26"/>
        <v>#NAME?</v>
      </c>
      <c r="P18" s="221" t="e">
        <f t="shared" ca="1" si="26"/>
        <v>#NAME?</v>
      </c>
      <c r="Q18" s="221" t="e">
        <f t="shared" ca="1" si="26"/>
        <v>#NAME?</v>
      </c>
      <c r="R18" s="221" t="e">
        <f t="shared" ca="1" si="26"/>
        <v>#NAME?</v>
      </c>
      <c r="S18" s="184" t="e">
        <f t="shared" ca="1" si="7"/>
        <v>#NAME?</v>
      </c>
      <c r="T18" s="183" t="e">
        <f t="shared" ca="1" si="8"/>
        <v>#NAME?</v>
      </c>
      <c r="U18" s="183" t="e">
        <f t="shared" ca="1" si="9"/>
        <v>#NAME?</v>
      </c>
      <c r="V18" s="183" t="e">
        <f t="shared" ca="1" si="10"/>
        <v>#NAME?</v>
      </c>
      <c r="W18" s="183" t="e">
        <f t="shared" ca="1" si="11"/>
        <v>#NAME?</v>
      </c>
      <c r="X18" s="183" t="e">
        <f t="shared" ca="1" si="12"/>
        <v>#NAME?</v>
      </c>
      <c r="Y18" s="183" t="e">
        <f t="shared" ca="1" si="13"/>
        <v>#NAME?</v>
      </c>
      <c r="Z18" s="183" t="e">
        <f t="shared" ca="1" si="14"/>
        <v>#NAME?</v>
      </c>
      <c r="AA18" s="183" t="e">
        <f t="shared" ca="1" si="15"/>
        <v>#NAME?</v>
      </c>
      <c r="AB18" s="183" t="e">
        <f t="shared" ca="1" si="15"/>
        <v>#NAME?</v>
      </c>
      <c r="AC18" s="185" t="e">
        <f t="shared" ca="1" si="24"/>
        <v>#NAME?</v>
      </c>
      <c r="AD18" s="186" t="e">
        <f t="shared" ca="1" si="16"/>
        <v>#NAME?</v>
      </c>
      <c r="AE18" s="186" t="e">
        <f t="shared" ca="1" si="17"/>
        <v>#NAME?</v>
      </c>
      <c r="AF18" s="186" t="e">
        <f t="shared" ca="1" si="18"/>
        <v>#NAME?</v>
      </c>
      <c r="AG18" s="186" t="e">
        <f t="shared" ca="1" si="19"/>
        <v>#NAME?</v>
      </c>
      <c r="AH18" s="186" t="e">
        <f t="shared" ca="1" si="20"/>
        <v>#NAME?</v>
      </c>
      <c r="AI18" s="186" t="e">
        <f t="shared" ca="1" si="21"/>
        <v>#NAME?</v>
      </c>
      <c r="AJ18" s="186" t="e">
        <f t="shared" ca="1" si="21"/>
        <v>#NAME?</v>
      </c>
      <c r="AK18" s="186" t="e">
        <f t="shared" ca="1" si="21"/>
        <v>#NAME?</v>
      </c>
      <c r="AL18" s="186" t="e">
        <f t="shared" ca="1" si="21"/>
        <v>#NAME?</v>
      </c>
      <c r="AM18" s="201"/>
      <c r="AN18" s="202" t="e">
        <f t="shared" ca="1" si="22"/>
        <v>#NAME?</v>
      </c>
      <c r="AO18" s="204"/>
      <c r="AP18" s="204"/>
      <c r="AQ18" s="204"/>
      <c r="AR18" s="205" t="e">
        <f ca="1">IF(LEFT(_xll.BDP(TEXT(BloombergCode,)&amp;" equity",TEXT(BloombergItem,)),1)="#",AV18,_xll.BDP(TEXT(BloombergCode,)&amp;" equity",TEXT(BloombergItem,)))</f>
        <v>#NAME?</v>
      </c>
      <c r="AS18" s="206" t="e">
        <f ca="1">IF(LEFT(_xll.BDP(AR18&amp;" Curncy",TEXT(BloombergItem,)),1)="#",AW18,_xll.BDP(AR18&amp;" Curncy",TEXT(BloombergItem,)))</f>
        <v>#NAME?</v>
      </c>
      <c r="AT18" s="206" t="e">
        <f ca="1">VLOOKUP('Global Properties'!$AR18,#REF!,2,0)</f>
        <v>#NAME?</v>
      </c>
      <c r="AU18" s="207" t="e">
        <f ca="1">_xll.BDP(AR18&amp;" Curncy",TEXT(BloombergItem,))</f>
        <v>#NAME?</v>
      </c>
      <c r="AV18" s="208" t="e">
        <f ca="1">_xll.BDP(TEXT(BloombergCode,)&amp;" equity",TEXT(BloombergItem,))</f>
        <v>#NAME?</v>
      </c>
      <c r="AW18" s="207" t="e">
        <f ca="1">_xll.BDP(AV18&amp;" Curncy",TEXT(BloombergItem,))</f>
        <v>#NAME?</v>
      </c>
      <c r="AX18" s="206" t="e">
        <f ca="1">VLOOKUP('Global Properties'!$AV18,#REF!,2,0)</f>
        <v>#NAME?</v>
      </c>
      <c r="AY18" s="215" t="e">
        <f ca="1">_xll.BDP(TEXT(BloombergCode,)&amp;" equity",TEXT(BloombergItem,))</f>
        <v>#NAME?</v>
      </c>
      <c r="AZ18" s="215" t="e">
        <f ca="1">_xll.BDP(TEXT(BloombergCode,)&amp;" equity",TEXT(BloombergItem,))</f>
        <v>#NAME?</v>
      </c>
      <c r="BA18" s="216" t="e">
        <f ca="1">_xll.BDP(TEXT(BloombergCode,)&amp;" equity",TEXT(BloombergItem,))</f>
        <v>#NAME?</v>
      </c>
      <c r="BB18" s="216" t="e">
        <f ca="1">_xll.BDP(TEXT(BloombergCode,)&amp;" equity",TEXT(BloombergItem,))</f>
        <v>#NAME?</v>
      </c>
      <c r="BC18" s="216" t="e">
        <f ca="1">_xll.BDP(TEXT(BloombergCode,)&amp;" equity",TEXT(BloombergItem,))</f>
        <v>#NAME?</v>
      </c>
      <c r="BD18" s="208"/>
      <c r="BE18" s="209" t="str">
        <f t="shared" si="23"/>
        <v>TCO US equity</v>
      </c>
      <c r="BF18" s="209"/>
      <c r="BH18" s="210"/>
      <c r="BI18" s="210" t="e">
        <f ca="1">_xll.BDP($BE18,BI$6,"BEST_FPERIOD_OVERRIDE",BI$5,"BEST_DATA_SOURCE_OVERRIDE","BST","BEST_CONSOLIDATED_OVERRIDE","C")</f>
        <v>#NAME?</v>
      </c>
      <c r="BJ18" s="210" t="e">
        <f ca="1">_xll.BDP($BE18,BJ$6,"BEST_FPERIOD_OVERRIDE",BJ$5,"BEST_DATA_SOURCE_OVERRIDE","BST","BEST_CONSOLIDATED_OVERRIDE","C")</f>
        <v>#NAME?</v>
      </c>
      <c r="BK18" s="210" t="e">
        <f ca="1">_xll.BDP($BE18,BK$6,"BEST_FPERIOD_OVERRIDE",BK$5,"BEST_DATA_SOURCE_OVERRIDE","BST","BEST_CONSOLIDATED_OVERRIDE","C")</f>
        <v>#NAME?</v>
      </c>
      <c r="BL18" s="210" t="e">
        <f ca="1">_xll.BDP($BE18,BL$6,"BEST_FPERIOD_OVERRIDE",BL$5,"BEST_DATA_SOURCE_OVERRIDE","BST","BEST_CONSOLIDATED_OVERRIDE","C")</f>
        <v>#NAME?</v>
      </c>
      <c r="BM18" s="210" t="e">
        <f ca="1">_xll.BDP($BE18,BM$6,"BEST_FPERIOD_OVERRIDE",BM$5,"BEST_DATA_SOURCE_OVERRIDE","BST","BEST_CONSOLIDATED_OVERRIDE","C")</f>
        <v>#NAME?</v>
      </c>
      <c r="BN18" s="210" t="e">
        <f ca="1">_xll.BDP($BE18,BN$6,"BEST_FPERIOD_OVERRIDE",BN$5,"BEST_DATA_SOURCE_OVERRIDE","BST","BEST_CONSOLIDATED_OVERRIDE","C")</f>
        <v>#NAME?</v>
      </c>
      <c r="BO18" s="210" t="e">
        <f ca="1">_xll.BDP($BE18,BO$6,"BEST_FPERIOD_OVERRIDE",BO$5,"BEST_DATA_SOURCE_OVERRIDE","BST","BEST_CONSOLIDATED_OVERRIDE","C")</f>
        <v>#NAME?</v>
      </c>
      <c r="BP18" s="210" t="e">
        <f ca="1">_xll.BDP($BE18,BP$6,"BEST_FPERIOD_OVERRIDE",BP$5,"BEST_DATA_SOURCE_OVERRIDE","BST","BEST_CONSOLIDATED_OVERRIDE","C")</f>
        <v>#NAME?</v>
      </c>
      <c r="BQ18" s="210" t="e">
        <f ca="1">_xll.BDP($BE18,BQ$6,"BEST_FPERIOD_OVERRIDE",BQ$5,"BEST_DATA_SOURCE_OVERRIDE","BST","BEST_CONSOLIDATED_OVERRIDE","C")</f>
        <v>#NAME?</v>
      </c>
      <c r="BR18" s="210" t="e">
        <f ca="1">_xll.BDP($BE18,BR$6,"BEST_FPERIOD_OVERRIDE",BR$5,"BEST_DATA_SOURCE_OVERRIDE","BST","BEST_CONSOLIDATED_OVERRIDE","C")</f>
        <v>#NAME?</v>
      </c>
      <c r="BS18" s="210" t="e">
        <f ca="1">_xll.BDP($BE18,BS$6,"BEST_FPERIOD_OVERRIDE",BS$5,"BEST_DATA_SOURCE_OVERRIDE","BST","BEST_CONSOLIDATED_OVERRIDE","C")</f>
        <v>#NAME?</v>
      </c>
      <c r="BT18" s="210" t="e">
        <f ca="1">_xll.BDP($BE18,BT$6,"BEST_FPERIOD_OVERRIDE",BT$5,"BEST_DATA_SOURCE_OVERRIDE","BST","BEST_CONSOLIDATED_OVERRIDE","C")</f>
        <v>#NAME?</v>
      </c>
      <c r="BV18" s="210" t="e">
        <f ca="1">_xll.BDP($BE18,BV$6,"BEST_FPERIOD_OVERRIDE",BV$5,"BEST_DATA_SOURCE_OVERRIDE","BST","BEST_CONSOLIDATED_OVERRIDE","C")</f>
        <v>#NAME?</v>
      </c>
      <c r="BW18" s="210" t="e">
        <f ca="1">_xll.BDP($BE18,BW$6,"BEST_FPERIOD_OVERRIDE",BW$5,"BEST_DATA_SOURCE_OVERRIDE","BST","BEST_CONSOLIDATED_OVERRIDE","C")</f>
        <v>#NAME?</v>
      </c>
      <c r="BX18" s="210" t="e">
        <f ca="1">_xll.BDP($BE18,BX$6,"BEST_FPERIOD_OVERRIDE",BX$5,"BEST_DATA_SOURCE_OVERRIDE","BST","BEST_CONSOLIDATED_OVERRIDE","C")</f>
        <v>#NAME?</v>
      </c>
      <c r="BY18" s="210" t="e">
        <f ca="1">_xll.BDP($BE18,BY$6,"BEST_FPERIOD_OVERRIDE",BY$5,"BEST_DATA_SOURCE_OVERRIDE","BST","BEST_CONSOLIDATED_OVERRIDE","C")</f>
        <v>#NAME?</v>
      </c>
      <c r="BZ18" s="210" t="e">
        <f ca="1">_xll.BDP($BE18,BZ$6,"BEST_FPERIOD_OVERRIDE",BZ$5,"BEST_DATA_SOURCE_OVERRIDE","BST","BEST_CONSOLIDATED_OVERRIDE","C")</f>
        <v>#NAME?</v>
      </c>
      <c r="CA18" s="210" t="e">
        <f ca="1">_xll.BDP($BE18,CA$6,"BEST_FPERIOD_OVERRIDE",CA$5,"BEST_DATA_SOURCE_OVERRIDE","BST","BEST_CONSOLIDATED_OVERRIDE","C")</f>
        <v>#NAME?</v>
      </c>
      <c r="CB18" s="210" t="e">
        <f ca="1">_xll.BDP($BE18,CB$6,"BEST_FPERIOD_OVERRIDE",CB$5,"BEST_DATA_SOURCE_OVERRIDE","BST","BEST_CONSOLIDATED_OVERRIDE","C")</f>
        <v>#NAME?</v>
      </c>
      <c r="CC18" s="210" t="e">
        <f ca="1">_xll.BDP($BE18,CC$6,"BEST_FPERIOD_OVERRIDE",CC$5,"BEST_DATA_SOURCE_OVERRIDE","BST","BEST_CONSOLIDATED_OVERRIDE","C")</f>
        <v>#NAME?</v>
      </c>
      <c r="CD18" s="210" t="e">
        <f ca="1">_xll.BDP($BE18,CD$6,"BEST_FPERIOD_OVERRIDE",CD$5,"BEST_DATA_SOURCE_OVERRIDE","BST","BEST_CONSOLIDATED_OVERRIDE","C")</f>
        <v>#NAME?</v>
      </c>
      <c r="CE18" s="210" t="e">
        <f ca="1">_xll.BDP($BE18,CE$6,"BEST_FPERIOD_OVERRIDE",CE$5,"BEST_DATA_SOURCE_OVERRIDE","BST","BEST_CONSOLIDATED_OVERRIDE","C")</f>
        <v>#NAME?</v>
      </c>
      <c r="CF18" s="210" t="e">
        <f ca="1">_xll.BDP($BE18,CF$6,"BEST_FPERIOD_OVERRIDE",CF$5,"BEST_DATA_SOURCE_OVERRIDE","BST","BEST_CONSOLIDATED_OVERRIDE","C")</f>
        <v>#NAME?</v>
      </c>
      <c r="CG18" s="210" t="e">
        <f ca="1">_xll.BDP($BE18,CG$6,"BEST_FPERIOD_OVERRIDE",CG$5,"BEST_DATA_SOURCE_OVERRIDE","BST","BEST_CONSOLIDATED_OVERRIDE","C")</f>
        <v>#NAME?</v>
      </c>
      <c r="CH18" s="210"/>
      <c r="CI18" s="212" t="e">
        <f ca="1">_xll.BDP($BE18,CI$6,"BEST_FPERIOD_OVERRIDE",CI$5,"BEST_DATA_SOURCE_OVERRIDE","BST","BEST_CONSOLIDATED_OVERRIDE","C")</f>
        <v>#NAME?</v>
      </c>
      <c r="CJ18" s="212" t="e">
        <f ca="1">_xll.BDP($BE18,CJ$6,"BEST_FPERIOD_OVERRIDE",CJ$5,"BEST_DATA_SOURCE_OVERRIDE","BST","BEST_CONSOLIDATED_OVERRIDE","C")</f>
        <v>#NAME?</v>
      </c>
      <c r="CK18" s="212" t="e">
        <f ca="1">_xll.BDP($BE18,CK$6,"BEST_FPERIOD_OVERRIDE",CK$5,"BEST_DATA_SOURCE_OVERRIDE","BST","BEST_CONSOLIDATED_OVERRIDE","C")</f>
        <v>#NAME?</v>
      </c>
      <c r="CL18" s="212" t="e">
        <f ca="1">_xll.BDP($BE18,CL$6,"BEST_FPERIOD_OVERRIDE",CL$5,"BEST_DATA_SOURCE_OVERRIDE","BST","BEST_CONSOLIDATED_OVERRIDE","C")</f>
        <v>#NAME?</v>
      </c>
      <c r="CM18" s="212" t="e">
        <f ca="1">_xll.BDP($BE18,CM$6,"BEST_FPERIOD_OVERRIDE",CM$5,"BEST_DATA_SOURCE_OVERRIDE","BST","BEST_CONSOLIDATED_OVERRIDE","C")</f>
        <v>#NAME?</v>
      </c>
      <c r="CN18" s="212" t="e">
        <f ca="1">_xll.BDP($BE18,CN$6,"BEST_FPERIOD_OVERRIDE",CN$5,"BEST_DATA_SOURCE_OVERRIDE","BST","BEST_CONSOLIDATED_OVERRIDE","C")</f>
        <v>#NAME?</v>
      </c>
      <c r="CO18" s="212" t="e">
        <f ca="1">_xll.BDP($BE18,CO$6,"BEST_FPERIOD_OVERRIDE",CO$5,"BEST_DATA_SOURCE_OVERRIDE","BST","BEST_CONSOLIDATED_OVERRIDE","C")</f>
        <v>#NAME?</v>
      </c>
      <c r="CP18" s="212" t="e">
        <f ca="1">_xll.BDP($BE18,CP$6,"BEST_FPERIOD_OVERRIDE",CP$5,"BEST_DATA_SOURCE_OVERRIDE","BST","BEST_CONSOLIDATED_OVERRIDE","C")</f>
        <v>#NAME?</v>
      </c>
      <c r="CQ18" s="212" t="e">
        <f ca="1">_xll.BDP($BE18,CQ$6,"BEST_FPERIOD_OVERRIDE",CQ$5,"BEST_DATA_SOURCE_OVERRIDE","BST","BEST_CONSOLIDATED_OVERRIDE","C")</f>
        <v>#NAME?</v>
      </c>
      <c r="CR18" s="212" t="e">
        <f ca="1">_xll.BDP($BE18,CR$6,"BEST_FPERIOD_OVERRIDE",CR$5,"BEST_DATA_SOURCE_OVERRIDE","BST","BEST_CONSOLIDATED_OVERRIDE","C")</f>
        <v>#NAME?</v>
      </c>
      <c r="CS18" s="212" t="e">
        <f ca="1">_xll.BDP($BE18,CS$6,"BEST_FPERIOD_OVERRIDE",CS$5,"BEST_DATA_SOURCE_OVERRIDE","BST","BEST_CONSOLIDATED_OVERRIDE","C")</f>
        <v>#NAME?</v>
      </c>
      <c r="CT18" s="212" t="e">
        <f ca="1">_xll.BDP($BE18,CT$6,"BEST_FPERIOD_OVERRIDE",CT$5,"BEST_DATA_SOURCE_OVERRIDE","BST","BEST_CONSOLIDATED_OVERRIDE","C")</f>
        <v>#NAME?</v>
      </c>
    </row>
    <row r="19" spans="1:98" s="225" customFormat="1" ht="16.5" outlineLevel="1">
      <c r="A19" s="177" t="e">
        <f t="shared" ca="1" si="3"/>
        <v>#NAME?</v>
      </c>
      <c r="B19" s="178" t="e">
        <f ca="1">_xll.BDP(TEXT($F19,)&amp;" equity",TEXT($B$7,))</f>
        <v>#NAME?</v>
      </c>
      <c r="C19" s="178" t="s">
        <v>199</v>
      </c>
      <c r="D19" s="178" t="e">
        <f ca="1">_xll.BDP(TEXT($B19,)&amp;" Curncy",TEXT($D$7,))</f>
        <v>#NAME?</v>
      </c>
      <c r="E19" s="193" t="e">
        <f ca="1">_xll.BDP(TEXT(BloombergCode,)&amp;" equity","LONG_COMP_NAME")</f>
        <v>#NAME?</v>
      </c>
      <c r="F19" s="194" t="s">
        <v>224</v>
      </c>
      <c r="G19" s="217" t="e">
        <f t="shared" ca="1" si="4"/>
        <v>#NAME?</v>
      </c>
      <c r="H19" s="218" t="e">
        <f t="shared" ca="1" si="5"/>
        <v>#NAME?</v>
      </c>
      <c r="I19" s="197" t="e">
        <f t="shared" ca="1" si="26"/>
        <v>#NAME?</v>
      </c>
      <c r="J19" s="197" t="e">
        <f t="shared" ca="1" si="26"/>
        <v>#NAME?</v>
      </c>
      <c r="K19" s="197" t="e">
        <f t="shared" ca="1" si="26"/>
        <v>#NAME?</v>
      </c>
      <c r="L19" s="197" t="e">
        <f t="shared" ca="1" si="26"/>
        <v>#NAME?</v>
      </c>
      <c r="M19" s="197" t="e">
        <f t="shared" ca="1" si="26"/>
        <v>#NAME?</v>
      </c>
      <c r="N19" s="197" t="e">
        <f t="shared" ca="1" si="26"/>
        <v>#NAME?</v>
      </c>
      <c r="O19" s="197" t="e">
        <f t="shared" ca="1" si="26"/>
        <v>#NAME?</v>
      </c>
      <c r="P19" s="197" t="e">
        <f t="shared" ca="1" si="26"/>
        <v>#NAME?</v>
      </c>
      <c r="Q19" s="197" t="e">
        <f t="shared" ca="1" si="26"/>
        <v>#NAME?</v>
      </c>
      <c r="R19" s="197" t="e">
        <f t="shared" ca="1" si="26"/>
        <v>#NAME?</v>
      </c>
      <c r="S19" s="198" t="e">
        <f t="shared" ca="1" si="7"/>
        <v>#NAME?</v>
      </c>
      <c r="T19" s="197" t="e">
        <f t="shared" ca="1" si="8"/>
        <v>#NAME?</v>
      </c>
      <c r="U19" s="197" t="e">
        <f t="shared" ca="1" si="9"/>
        <v>#NAME?</v>
      </c>
      <c r="V19" s="197" t="e">
        <f t="shared" ca="1" si="10"/>
        <v>#NAME?</v>
      </c>
      <c r="W19" s="197" t="e">
        <f t="shared" ca="1" si="11"/>
        <v>#NAME?</v>
      </c>
      <c r="X19" s="197" t="e">
        <f t="shared" ca="1" si="12"/>
        <v>#NAME?</v>
      </c>
      <c r="Y19" s="197" t="e">
        <f t="shared" ca="1" si="13"/>
        <v>#NAME?</v>
      </c>
      <c r="Z19" s="197" t="e">
        <f t="shared" ca="1" si="14"/>
        <v>#NAME?</v>
      </c>
      <c r="AA19" s="197" t="e">
        <f t="shared" ca="1" si="15"/>
        <v>#NAME?</v>
      </c>
      <c r="AB19" s="197" t="e">
        <f t="shared" ca="1" si="15"/>
        <v>#NAME?</v>
      </c>
      <c r="AC19" s="199" t="e">
        <f t="shared" ca="1" si="24"/>
        <v>#NAME?</v>
      </c>
      <c r="AD19" s="200" t="e">
        <f t="shared" ca="1" si="16"/>
        <v>#NAME?</v>
      </c>
      <c r="AE19" s="200" t="e">
        <f t="shared" ca="1" si="17"/>
        <v>#NAME?</v>
      </c>
      <c r="AF19" s="200" t="e">
        <f t="shared" ca="1" si="18"/>
        <v>#NAME?</v>
      </c>
      <c r="AG19" s="200" t="e">
        <f t="shared" ca="1" si="19"/>
        <v>#NAME?</v>
      </c>
      <c r="AH19" s="200" t="e">
        <f t="shared" ca="1" si="20"/>
        <v>#NAME?</v>
      </c>
      <c r="AI19" s="200" t="e">
        <f t="shared" ca="1" si="21"/>
        <v>#NAME?</v>
      </c>
      <c r="AJ19" s="200" t="e">
        <f t="shared" ca="1" si="21"/>
        <v>#NAME?</v>
      </c>
      <c r="AK19" s="200" t="e">
        <f t="shared" ca="1" si="21"/>
        <v>#NAME?</v>
      </c>
      <c r="AL19" s="200" t="e">
        <f t="shared" ca="1" si="21"/>
        <v>#NAME?</v>
      </c>
      <c r="AM19" s="175"/>
      <c r="AN19" s="148" t="e">
        <f t="shared" ca="1" si="22"/>
        <v>#NAME?</v>
      </c>
      <c r="AO19" s="222"/>
      <c r="AP19" s="187" t="s">
        <v>211</v>
      </c>
      <c r="AQ19" s="136" t="s">
        <v>212</v>
      </c>
      <c r="AR19" s="188" t="e">
        <f ca="1">IF(LEFT(_xll.BDP(TEXT(BloombergCode,)&amp;" equity",TEXT(BloombergItem,)),1)="#",AV19,_xll.BDP(TEXT(BloombergCode,)&amp;" equity",TEXT(BloombergItem,)))</f>
        <v>#NAME?</v>
      </c>
      <c r="AS19" s="138" t="e">
        <f ca="1">IF(LEFT(_xll.BDP(AR19&amp;" Curncy",TEXT(BloombergItem,)),1)="#",AW19,_xll.BDP(AR19&amp;" Curncy",TEXT(BloombergItem,)))</f>
        <v>#NAME?</v>
      </c>
      <c r="AT19" s="138" t="e">
        <f ca="1">VLOOKUP('Global Properties'!$AR19,#REF!,2,0)</f>
        <v>#NAME?</v>
      </c>
      <c r="AU19" s="189" t="e">
        <f ca="1">_xll.BDP(AR19&amp;" Curncy",TEXT(BloombergItem,))</f>
        <v>#NAME?</v>
      </c>
      <c r="AV19" s="190" t="e">
        <f ca="1">_xll.BDP(TEXT(BloombergCode,)&amp;" equity",TEXT(BloombergItem,))</f>
        <v>#NAME?</v>
      </c>
      <c r="AW19" s="189" t="e">
        <f ca="1">_xll.BDP(AV19&amp;" Curncy",TEXT(BloombergItem,))</f>
        <v>#NAME?</v>
      </c>
      <c r="AX19" s="138" t="e">
        <f ca="1">VLOOKUP('Global Properties'!$AV19,#REF!,2,0)</f>
        <v>#NAME?</v>
      </c>
      <c r="AY19" s="223" t="e">
        <f ca="1">_xll.BDP(TEXT(BloombergCode,)&amp;" equity",TEXT(BloombergItem,))</f>
        <v>#NAME?</v>
      </c>
      <c r="AZ19" s="223" t="e">
        <f ca="1">_xll.BDP(TEXT(BloombergCode,)&amp;" equity",TEXT(BloombergItem,))</f>
        <v>#NAME?</v>
      </c>
      <c r="BA19" s="224" t="e">
        <f ca="1">_xll.BDP(TEXT(BloombergCode,)&amp;" equity",TEXT(BloombergItem,))</f>
        <v>#NAME?</v>
      </c>
      <c r="BB19" s="224" t="e">
        <f ca="1">_xll.BDP(TEXT(BloombergCode,)&amp;" equity",TEXT(BloombergItem,))</f>
        <v>#NAME?</v>
      </c>
      <c r="BC19" s="224" t="e">
        <f ca="1">_xll.BDP(TEXT(BloombergCode,)&amp;" equity",TEXT(BloombergItem,))</f>
        <v>#NAME?</v>
      </c>
      <c r="BD19" s="190"/>
      <c r="BE19" s="139" t="str">
        <f t="shared" si="23"/>
        <v>SKT US equity</v>
      </c>
      <c r="BF19" s="139"/>
      <c r="BG19" s="178"/>
      <c r="BH19" s="191"/>
      <c r="BI19" s="191" t="e">
        <f ca="1">_xll.BDP($BE19,BI$6,"BEST_FPERIOD_OVERRIDE",BI$5,"BEST_DATA_SOURCE_OVERRIDE","BST","BEST_CONSOLIDATED_OVERRIDE","C")</f>
        <v>#NAME?</v>
      </c>
      <c r="BJ19" s="191" t="e">
        <f ca="1">_xll.BDP($BE19,BJ$6,"BEST_FPERIOD_OVERRIDE",BJ$5,"BEST_DATA_SOURCE_OVERRIDE","BST","BEST_CONSOLIDATED_OVERRIDE","C")</f>
        <v>#NAME?</v>
      </c>
      <c r="BK19" s="191" t="e">
        <f ca="1">_xll.BDP($BE19,BK$6,"BEST_FPERIOD_OVERRIDE",BK$5,"BEST_DATA_SOURCE_OVERRIDE","BST","BEST_CONSOLIDATED_OVERRIDE","C")</f>
        <v>#NAME?</v>
      </c>
      <c r="BL19" s="191" t="e">
        <f ca="1">_xll.BDP($BE19,BL$6,"BEST_FPERIOD_OVERRIDE",BL$5,"BEST_DATA_SOURCE_OVERRIDE","BST","BEST_CONSOLIDATED_OVERRIDE","C")</f>
        <v>#NAME?</v>
      </c>
      <c r="BM19" s="191" t="e">
        <f ca="1">_xll.BDP($BE19,BM$6,"BEST_FPERIOD_OVERRIDE",BM$5,"BEST_DATA_SOURCE_OVERRIDE","BST","BEST_CONSOLIDATED_OVERRIDE","C")</f>
        <v>#NAME?</v>
      </c>
      <c r="BN19" s="191" t="e">
        <f ca="1">_xll.BDP($BE19,BN$6,"BEST_FPERIOD_OVERRIDE",BN$5,"BEST_DATA_SOURCE_OVERRIDE","BST","BEST_CONSOLIDATED_OVERRIDE","C")</f>
        <v>#NAME?</v>
      </c>
      <c r="BO19" s="191" t="e">
        <f ca="1">_xll.BDP($BE19,BO$6,"BEST_FPERIOD_OVERRIDE",BO$5,"BEST_DATA_SOURCE_OVERRIDE","BST","BEST_CONSOLIDATED_OVERRIDE","C")</f>
        <v>#NAME?</v>
      </c>
      <c r="BP19" s="191" t="e">
        <f ca="1">_xll.BDP($BE19,BP$6,"BEST_FPERIOD_OVERRIDE",BP$5,"BEST_DATA_SOURCE_OVERRIDE","BST","BEST_CONSOLIDATED_OVERRIDE","C")</f>
        <v>#NAME?</v>
      </c>
      <c r="BQ19" s="191" t="e">
        <f ca="1">_xll.BDP($BE19,BQ$6,"BEST_FPERIOD_OVERRIDE",BQ$5,"BEST_DATA_SOURCE_OVERRIDE","BST","BEST_CONSOLIDATED_OVERRIDE","C")</f>
        <v>#NAME?</v>
      </c>
      <c r="BR19" s="191" t="e">
        <f ca="1">_xll.BDP($BE19,BR$6,"BEST_FPERIOD_OVERRIDE",BR$5,"BEST_DATA_SOURCE_OVERRIDE","BST","BEST_CONSOLIDATED_OVERRIDE","C")</f>
        <v>#NAME?</v>
      </c>
      <c r="BS19" s="191" t="e">
        <f ca="1">_xll.BDP($BE19,BS$6,"BEST_FPERIOD_OVERRIDE",BS$5,"BEST_DATA_SOURCE_OVERRIDE","BST","BEST_CONSOLIDATED_OVERRIDE","C")</f>
        <v>#NAME?</v>
      </c>
      <c r="BT19" s="191" t="e">
        <f ca="1">_xll.BDP($BE20,BT$6,"BEST_FPERIOD_OVERRIDE",BT$5,"BEST_DATA_SOURCE_OVERRIDE","BST","BEST_CONSOLIDATED_OVERRIDE","C")</f>
        <v>#NAME?</v>
      </c>
      <c r="BU19" s="178"/>
      <c r="BV19" s="191" t="e">
        <f ca="1">_xll.BDP($BE19,BV$6,"BEST_FPERIOD_OVERRIDE",BV$5,"BEST_DATA_SOURCE_OVERRIDE","BST","BEST_CONSOLIDATED_OVERRIDE","C")</f>
        <v>#NAME?</v>
      </c>
      <c r="BW19" s="191" t="e">
        <f ca="1">_xll.BDP($BE19,BW$6,"BEST_FPERIOD_OVERRIDE",BW$5,"BEST_DATA_SOURCE_OVERRIDE","BST","BEST_CONSOLIDATED_OVERRIDE","C")</f>
        <v>#NAME?</v>
      </c>
      <c r="BX19" s="191" t="e">
        <f ca="1">_xll.BDP($BE19,BX$6,"BEST_FPERIOD_OVERRIDE",BX$5,"BEST_DATA_SOURCE_OVERRIDE","BST","BEST_CONSOLIDATED_OVERRIDE","C")</f>
        <v>#NAME?</v>
      </c>
      <c r="BY19" s="191" t="e">
        <f ca="1">_xll.BDP($BE19,BY$6,"BEST_FPERIOD_OVERRIDE",BY$5,"BEST_DATA_SOURCE_OVERRIDE","BST","BEST_CONSOLIDATED_OVERRIDE","C")</f>
        <v>#NAME?</v>
      </c>
      <c r="BZ19" s="191" t="e">
        <f ca="1">_xll.BDP($BE19,BZ$6,"BEST_FPERIOD_OVERRIDE",BZ$5,"BEST_DATA_SOURCE_OVERRIDE","BST","BEST_CONSOLIDATED_OVERRIDE","C")</f>
        <v>#NAME?</v>
      </c>
      <c r="CA19" s="191" t="e">
        <f ca="1">_xll.BDP($BE19,CA$6,"BEST_FPERIOD_OVERRIDE",CA$5,"BEST_DATA_SOURCE_OVERRIDE","BST","BEST_CONSOLIDATED_OVERRIDE","C")</f>
        <v>#NAME?</v>
      </c>
      <c r="CB19" s="191" t="e">
        <f ca="1">_xll.BDP($BE19,CB$6,"BEST_FPERIOD_OVERRIDE",CB$5,"BEST_DATA_SOURCE_OVERRIDE","BST","BEST_CONSOLIDATED_OVERRIDE","C")</f>
        <v>#NAME?</v>
      </c>
      <c r="CC19" s="191" t="e">
        <f ca="1">_xll.BDP($BE19,CC$6,"BEST_FPERIOD_OVERRIDE",CC$5,"BEST_DATA_SOURCE_OVERRIDE","BST","BEST_CONSOLIDATED_OVERRIDE","C")</f>
        <v>#NAME?</v>
      </c>
      <c r="CD19" s="191" t="e">
        <f ca="1">_xll.BDP($BE19,CD$6,"BEST_FPERIOD_OVERRIDE",CD$5,"BEST_DATA_SOURCE_OVERRIDE","BST","BEST_CONSOLIDATED_OVERRIDE","C")</f>
        <v>#NAME?</v>
      </c>
      <c r="CE19" s="191" t="e">
        <f ca="1">_xll.BDP($BE19,CE$6,"BEST_FPERIOD_OVERRIDE",CE$5,"BEST_DATA_SOURCE_OVERRIDE","BST","BEST_CONSOLIDATED_OVERRIDE","C")</f>
        <v>#NAME?</v>
      </c>
      <c r="CF19" s="191" t="e">
        <f ca="1">_xll.BDP($BE19,CF$6,"BEST_FPERIOD_OVERRIDE",CF$5,"BEST_DATA_SOURCE_OVERRIDE","BST","BEST_CONSOLIDATED_OVERRIDE","C")</f>
        <v>#NAME?</v>
      </c>
      <c r="CG19" s="191" t="e">
        <f ca="1">_xll.BDP($BE19,CG$6,"BEST_FPERIOD_OVERRIDE",CG$5,"BEST_DATA_SOURCE_OVERRIDE","BST","BEST_CONSOLIDATED_OVERRIDE","C")</f>
        <v>#NAME?</v>
      </c>
      <c r="CH19" s="191"/>
      <c r="CI19" s="192" t="e">
        <f ca="1">_xll.BDP($BE19,CI$6,"BEST_FPERIOD_OVERRIDE",CI$5,"BEST_DATA_SOURCE_OVERRIDE","BST","BEST_CONSOLIDATED_OVERRIDE","C")</f>
        <v>#NAME?</v>
      </c>
      <c r="CJ19" s="192" t="e">
        <f ca="1">_xll.BDP($BE19,CJ$6,"BEST_FPERIOD_OVERRIDE",CJ$5,"BEST_DATA_SOURCE_OVERRIDE","BST","BEST_CONSOLIDATED_OVERRIDE","C")</f>
        <v>#NAME?</v>
      </c>
      <c r="CK19" s="192" t="e">
        <f ca="1">_xll.BDP($BE19,CK$6,"BEST_FPERIOD_OVERRIDE",CK$5,"BEST_DATA_SOURCE_OVERRIDE","BST","BEST_CONSOLIDATED_OVERRIDE","C")</f>
        <v>#NAME?</v>
      </c>
      <c r="CL19" s="192" t="e">
        <f ca="1">_xll.BDP($BE19,CL$6,"BEST_FPERIOD_OVERRIDE",CL$5,"BEST_DATA_SOURCE_OVERRIDE","BST","BEST_CONSOLIDATED_OVERRIDE","C")</f>
        <v>#NAME?</v>
      </c>
      <c r="CM19" s="192" t="e">
        <f ca="1">_xll.BDP($BE19,CM$6,"BEST_FPERIOD_OVERRIDE",CM$5,"BEST_DATA_SOURCE_OVERRIDE","BST","BEST_CONSOLIDATED_OVERRIDE","C")</f>
        <v>#NAME?</v>
      </c>
      <c r="CN19" s="192" t="e">
        <f ca="1">_xll.BDP($BE19,CN$6,"BEST_FPERIOD_OVERRIDE",CN$5,"BEST_DATA_SOURCE_OVERRIDE","BST","BEST_CONSOLIDATED_OVERRIDE","C")</f>
        <v>#NAME?</v>
      </c>
      <c r="CO19" s="192" t="e">
        <f ca="1">_xll.BDP($BE19,CO$6,"BEST_FPERIOD_OVERRIDE",CO$5,"BEST_DATA_SOURCE_OVERRIDE","BST","BEST_CONSOLIDATED_OVERRIDE","C")</f>
        <v>#NAME?</v>
      </c>
      <c r="CP19" s="192" t="e">
        <f ca="1">_xll.BDP($BE19,CP$6,"BEST_FPERIOD_OVERRIDE",CP$5,"BEST_DATA_SOURCE_OVERRIDE","BST","BEST_CONSOLIDATED_OVERRIDE","C")</f>
        <v>#NAME?</v>
      </c>
      <c r="CQ19" s="192" t="e">
        <f ca="1">_xll.BDP($BE19,CQ$6,"BEST_FPERIOD_OVERRIDE",CQ$5,"BEST_DATA_SOURCE_OVERRIDE","BST","BEST_CONSOLIDATED_OVERRIDE","C")</f>
        <v>#NAME?</v>
      </c>
      <c r="CR19" s="192" t="e">
        <f ca="1">_xll.BDP($BE19,CR$6,"BEST_FPERIOD_OVERRIDE",CR$5,"BEST_DATA_SOURCE_OVERRIDE","BST","BEST_CONSOLIDATED_OVERRIDE","C")</f>
        <v>#NAME?</v>
      </c>
      <c r="CS19" s="192" t="e">
        <f ca="1">_xll.BDP($BE19,CS$6,"BEST_FPERIOD_OVERRIDE",CS$5,"BEST_DATA_SOURCE_OVERRIDE","BST","BEST_CONSOLIDATED_OVERRIDE","C")</f>
        <v>#NAME?</v>
      </c>
      <c r="CT19" s="192" t="e">
        <f ca="1">_xll.BDP($BE19,CT$6,"BEST_FPERIOD_OVERRIDE",CT$5,"BEST_DATA_SOURCE_OVERRIDE","BST","BEST_CONSOLIDATED_OVERRIDE","C")</f>
        <v>#NAME?</v>
      </c>
    </row>
    <row r="20" spans="1:98" s="229" customFormat="1" ht="16.5" outlineLevel="1">
      <c r="E20" s="226" t="s">
        <v>16</v>
      </c>
      <c r="F20" s="230"/>
      <c r="G20" s="227"/>
      <c r="H20" s="228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2"/>
      <c r="T20" s="231"/>
      <c r="U20" s="231"/>
      <c r="V20" s="231"/>
      <c r="W20" s="231"/>
      <c r="X20" s="231"/>
      <c r="Y20" s="231"/>
      <c r="Z20" s="231"/>
      <c r="AA20" s="231"/>
      <c r="AB20" s="231"/>
      <c r="AC20" s="232"/>
      <c r="AD20" s="231"/>
      <c r="AE20" s="231"/>
      <c r="AF20" s="231"/>
      <c r="AG20" s="231"/>
      <c r="AH20" s="231"/>
      <c r="AI20" s="231"/>
      <c r="AJ20" s="231"/>
      <c r="AK20" s="231"/>
      <c r="AL20" s="231"/>
      <c r="AM20" s="233"/>
      <c r="AN20" s="234"/>
      <c r="AO20" s="235"/>
      <c r="AP20" s="236"/>
      <c r="AQ20" s="235"/>
      <c r="AR20" s="237"/>
      <c r="AS20" s="238"/>
      <c r="AT20" s="238"/>
      <c r="AU20" s="238"/>
      <c r="AV20" s="237"/>
      <c r="AW20" s="238"/>
      <c r="AX20" s="238"/>
      <c r="AY20" s="238"/>
      <c r="AZ20" s="238"/>
      <c r="BA20" s="237"/>
      <c r="BB20" s="237"/>
      <c r="BC20" s="237"/>
      <c r="BD20" s="237"/>
      <c r="BE20" s="239"/>
      <c r="BF20" s="239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</row>
    <row r="21" spans="1:98" ht="16.5">
      <c r="E21" s="167" t="s">
        <v>213</v>
      </c>
      <c r="F21" s="168"/>
      <c r="G21" s="169"/>
      <c r="H21" s="170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2"/>
      <c r="T21" s="171"/>
      <c r="U21" s="171"/>
      <c r="V21" s="171"/>
      <c r="W21" s="171"/>
      <c r="X21" s="171"/>
      <c r="Y21" s="171"/>
      <c r="Z21" s="173"/>
      <c r="AA21" s="173"/>
      <c r="AB21" s="173"/>
      <c r="AC21" s="174"/>
      <c r="AD21" s="173"/>
      <c r="AE21" s="173"/>
      <c r="AF21" s="173"/>
      <c r="AG21" s="173"/>
      <c r="AH21" s="173"/>
      <c r="AI21" s="173"/>
      <c r="AJ21" s="173"/>
      <c r="AK21" s="173"/>
      <c r="AL21" s="173"/>
      <c r="AM21" s="175"/>
      <c r="AN21" s="176" t="str">
        <f>+E21</f>
        <v>Europe</v>
      </c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</row>
    <row r="22" spans="1:98" s="178" customFormat="1" ht="16.5">
      <c r="A22" s="177" t="e">
        <f t="shared" ref="A22:A28" ca="1" si="27">BB22/1000000</f>
        <v>#NAME?</v>
      </c>
      <c r="B22" s="178" t="e">
        <f ca="1">_xll.BDP(TEXT($F22,)&amp;" equity",TEXT($B$7,))</f>
        <v>#NAME?</v>
      </c>
      <c r="C22" s="178" t="s">
        <v>214</v>
      </c>
      <c r="D22" s="178" t="e">
        <f ca="1">_xll.BDP(TEXT($B22,)&amp;" Curncy",TEXT($D$7,))</f>
        <v>#NAME?</v>
      </c>
      <c r="E22" s="179" t="e">
        <f ca="1">_xll.BDP(TEXT(BloombergCode,)&amp;" equity","LONG_COMP_NAME")</f>
        <v>#NAME?</v>
      </c>
      <c r="F22" s="180" t="s">
        <v>215</v>
      </c>
      <c r="G22" s="213" t="e">
        <f t="shared" ref="G22:G28" ca="1" si="28">AZ22</f>
        <v>#NAME?</v>
      </c>
      <c r="H22" s="214" t="e">
        <f t="shared" ref="H22:H28" ca="1" si="29">IF(C22="Mult",D22*A22,IF(C22="Div",A22/D22,"Error"))</f>
        <v>#NAME?</v>
      </c>
      <c r="I22" s="183" t="e">
        <f t="shared" ref="I22:R25" ca="1" si="30">BX22</f>
        <v>#NAME?</v>
      </c>
      <c r="J22" s="183" t="e">
        <f t="shared" ca="1" si="30"/>
        <v>#NAME?</v>
      </c>
      <c r="K22" s="183" t="e">
        <f t="shared" ca="1" si="30"/>
        <v>#NAME?</v>
      </c>
      <c r="L22" s="183" t="e">
        <f t="shared" ca="1" si="30"/>
        <v>#NAME?</v>
      </c>
      <c r="M22" s="183" t="e">
        <f t="shared" ca="1" si="30"/>
        <v>#NAME?</v>
      </c>
      <c r="N22" s="183" t="e">
        <f t="shared" ca="1" si="30"/>
        <v>#NAME?</v>
      </c>
      <c r="O22" s="183" t="e">
        <f t="shared" ca="1" si="30"/>
        <v>#NAME?</v>
      </c>
      <c r="P22" s="183" t="e">
        <f t="shared" ca="1" si="30"/>
        <v>#NAME?</v>
      </c>
      <c r="Q22" s="183" t="e">
        <f t="shared" ca="1" si="30"/>
        <v>#NAME?</v>
      </c>
      <c r="R22" s="183" t="e">
        <f t="shared" ca="1" si="30"/>
        <v>#NAME?</v>
      </c>
      <c r="S22" s="184" t="e">
        <f t="shared" ref="S22:AB23" ca="1" si="31">$G22/BK22</f>
        <v>#NAME?</v>
      </c>
      <c r="T22" s="183" t="e">
        <f t="shared" ca="1" si="31"/>
        <v>#NAME?</v>
      </c>
      <c r="U22" s="183" t="e">
        <f t="shared" ca="1" si="31"/>
        <v>#NAME?</v>
      </c>
      <c r="V22" s="183" t="e">
        <f t="shared" ca="1" si="31"/>
        <v>#NAME?</v>
      </c>
      <c r="W22" s="183" t="e">
        <f t="shared" ca="1" si="31"/>
        <v>#NAME?</v>
      </c>
      <c r="X22" s="183" t="e">
        <f t="shared" ca="1" si="31"/>
        <v>#NAME?</v>
      </c>
      <c r="Y22" s="183" t="e">
        <f t="shared" ca="1" si="31"/>
        <v>#NAME?</v>
      </c>
      <c r="Z22" s="183" t="e">
        <f t="shared" ca="1" si="31"/>
        <v>#NAME?</v>
      </c>
      <c r="AA22" s="183" t="e">
        <f t="shared" ca="1" si="31"/>
        <v>#NAME?</v>
      </c>
      <c r="AB22" s="183" t="e">
        <f t="shared" ca="1" si="31"/>
        <v>#NAME?</v>
      </c>
      <c r="AC22" s="185" t="e">
        <f t="shared" ref="AC22:AC28" ca="1" si="32">CK22/100</f>
        <v>#NAME?</v>
      </c>
      <c r="AD22" s="186" t="e">
        <f t="shared" ref="AD22:AD28" ca="1" si="33">CL22/100</f>
        <v>#NAME?</v>
      </c>
      <c r="AE22" s="186" t="e">
        <f t="shared" ref="AE22:AE28" ca="1" si="34">CM22/100</f>
        <v>#NAME?</v>
      </c>
      <c r="AF22" s="186" t="e">
        <f t="shared" ref="AF22:AF28" ca="1" si="35">CN22/100</f>
        <v>#NAME?</v>
      </c>
      <c r="AG22" s="186" t="e">
        <f t="shared" ref="AG22:AG28" ca="1" si="36">CO22/100</f>
        <v>#NAME?</v>
      </c>
      <c r="AH22" s="186" t="e">
        <f t="shared" ref="AH22:AH28" ca="1" si="37">CP22/100</f>
        <v>#NAME?</v>
      </c>
      <c r="AI22" s="186" t="e">
        <f t="shared" ref="AI22:AL28" ca="1" si="38">CQ22/100</f>
        <v>#NAME?</v>
      </c>
      <c r="AJ22" s="186" t="e">
        <f t="shared" ca="1" si="38"/>
        <v>#NAME?</v>
      </c>
      <c r="AK22" s="186" t="e">
        <f t="shared" ca="1" si="38"/>
        <v>#NAME?</v>
      </c>
      <c r="AL22" s="186" t="e">
        <f t="shared" ca="1" si="38"/>
        <v>#NAME?</v>
      </c>
      <c r="AM22" s="175"/>
      <c r="AN22" s="148" t="e">
        <f t="shared" ref="AN22:AN28" ca="1" si="39">+E22&amp;IF(LEFT(AR22,1)="#",""," ("&amp;AR22&amp;")")</f>
        <v>#NAME?</v>
      </c>
      <c r="AO22" s="136"/>
      <c r="AP22" s="187" t="s">
        <v>216</v>
      </c>
      <c r="AQ22" s="136" t="s">
        <v>217</v>
      </c>
      <c r="AR22" s="188" t="e">
        <f ca="1">IF(LEFT(_xll.BDP(TEXT(BloombergCode,)&amp;" equity",TEXT(BloombergItem,)),1)="#",AV22,_xll.BDP(TEXT(BloombergCode,)&amp;" equity",TEXT(BloombergItem,)))</f>
        <v>#NAME?</v>
      </c>
      <c r="AS22" s="138" t="e">
        <f ca="1">IF(LEFT(_xll.BDP(AR22&amp;" Curncy",TEXT(BloombergItem,)),1)="#",AW22,_xll.BDP(AR22&amp;" Curncy",TEXT(BloombergItem,)))</f>
        <v>#NAME?</v>
      </c>
      <c r="AT22" s="138" t="e">
        <f ca="1">VLOOKUP('Global Properties'!$AR22,#REF!,2,0)</f>
        <v>#NAME?</v>
      </c>
      <c r="AU22" s="189" t="e">
        <f ca="1">_xll.BDP(AR22&amp;" Curncy",TEXT(BloombergItem,))</f>
        <v>#NAME?</v>
      </c>
      <c r="AV22" s="190" t="e">
        <f ca="1">_xll.BDP(TEXT(BloombergCode,)&amp;" equity",TEXT(BloombergItem,))</f>
        <v>#NAME?</v>
      </c>
      <c r="AW22" s="189" t="e">
        <f ca="1">_xll.BDP(AV22&amp;" Curncy",TEXT(BloombergItem,))</f>
        <v>#NAME?</v>
      </c>
      <c r="AX22" s="138" t="e">
        <f ca="1">VLOOKUP('Global Properties'!$AV22,#REF!,2,0)</f>
        <v>#NAME?</v>
      </c>
      <c r="AY22" s="219" t="e">
        <f ca="1">_xll.BDP(TEXT(BloombergCode,)&amp;" equity",TEXT(BloombergItem,))</f>
        <v>#NAME?</v>
      </c>
      <c r="AZ22" s="219" t="e">
        <f ca="1">_xll.BDP(TEXT(BloombergCode,)&amp;" equity",TEXT(BloombergItem,))</f>
        <v>#NAME?</v>
      </c>
      <c r="BA22" s="220" t="e">
        <f ca="1">_xll.BDP(TEXT(BloombergCode,)&amp;" equity",TEXT(BloombergItem,))</f>
        <v>#NAME?</v>
      </c>
      <c r="BB22" s="220" t="e">
        <f ca="1">_xll.BDP(TEXT(BloombergCode,)&amp;" equity",TEXT(BloombergItem,))</f>
        <v>#NAME?</v>
      </c>
      <c r="BC22" s="220" t="e">
        <f ca="1">_xll.BDP(TEXT(BloombergCode,)&amp;" equity",TEXT(BloombergItem,))</f>
        <v>#NAME?</v>
      </c>
      <c r="BD22" s="190"/>
      <c r="BE22" s="139" t="str">
        <f t="shared" ref="BE22:BE28" si="40">BloombergCode&amp;" equity"</f>
        <v>UL NA equity</v>
      </c>
      <c r="BF22" s="139"/>
      <c r="BH22" s="191"/>
      <c r="BI22" s="191" t="e">
        <f ca="1">_xll.BDP($BE22,BI$6,"BEST_FPERIOD_OVERRIDE",BI$5,"BEST_DATA_SOURCE_OVERRIDE","BST","BEST_CONSOLIDATED_OVERRIDE","C")</f>
        <v>#NAME?</v>
      </c>
      <c r="BJ22" s="191" t="e">
        <f ca="1">_xll.BDP($BE22,BJ$6,"BEST_FPERIOD_OVERRIDE",BJ$5,"BEST_DATA_SOURCE_OVERRIDE","BST","BEST_CONSOLIDATED_OVERRIDE","C")</f>
        <v>#NAME?</v>
      </c>
      <c r="BK22" s="191" t="e">
        <f ca="1">_xll.BDP($BE22,BK$6,"BEST_FPERIOD_OVERRIDE",BK$5,"BEST_DATA_SOURCE_OVERRIDE","BST","BEST_CONSOLIDATED_OVERRIDE","C")</f>
        <v>#NAME?</v>
      </c>
      <c r="BL22" s="191" t="e">
        <f ca="1">_xll.BDP($BE22,BL$6,"BEST_FPERIOD_OVERRIDE",BL$5,"BEST_DATA_SOURCE_OVERRIDE","BST","BEST_CONSOLIDATED_OVERRIDE","C")</f>
        <v>#NAME?</v>
      </c>
      <c r="BM22" s="191" t="e">
        <f ca="1">_xll.BDP($BE22,BM$6,"BEST_FPERIOD_OVERRIDE",BM$5,"BEST_DATA_SOURCE_OVERRIDE","BST","BEST_CONSOLIDATED_OVERRIDE","C")</f>
        <v>#NAME?</v>
      </c>
      <c r="BN22" s="191" t="e">
        <f ca="1">_xll.BDP($BE22,BN$6,"BEST_FPERIOD_OVERRIDE",BN$5,"BEST_DATA_SOURCE_OVERRIDE","BST","BEST_CONSOLIDATED_OVERRIDE","C")</f>
        <v>#NAME?</v>
      </c>
      <c r="BO22" s="191" t="e">
        <f ca="1">_xll.BDP($BE22,BO$6,"BEST_FPERIOD_OVERRIDE",BO$5,"BEST_DATA_SOURCE_OVERRIDE","BST","BEST_CONSOLIDATED_OVERRIDE","C")</f>
        <v>#NAME?</v>
      </c>
      <c r="BP22" s="191" t="e">
        <f ca="1">_xll.BDP($BE22,BP$6,"BEST_FPERIOD_OVERRIDE",BP$5,"BEST_DATA_SOURCE_OVERRIDE","BST","BEST_CONSOLIDATED_OVERRIDE","C")</f>
        <v>#NAME?</v>
      </c>
      <c r="BQ22" s="191" t="e">
        <f ca="1">_xll.BDP($BE22,BQ$6,"BEST_FPERIOD_OVERRIDE",BQ$5,"BEST_DATA_SOURCE_OVERRIDE","BST","BEST_CONSOLIDATED_OVERRIDE","C")</f>
        <v>#NAME?</v>
      </c>
      <c r="BR22" s="191" t="e">
        <f ca="1">_xll.BDP($BE22,BR$6,"BEST_FPERIOD_OVERRIDE",BR$5,"BEST_DATA_SOURCE_OVERRIDE","BST","BEST_CONSOLIDATED_OVERRIDE","C")</f>
        <v>#NAME?</v>
      </c>
      <c r="BS22" s="191" t="e">
        <f ca="1">_xll.BDP($BE22,BS$6,"BEST_FPERIOD_OVERRIDE",BS$5,"BEST_DATA_SOURCE_OVERRIDE","BST","BEST_CONSOLIDATED_OVERRIDE","C")</f>
        <v>#NAME?</v>
      </c>
      <c r="BT22" s="191" t="e">
        <f ca="1">_xll.BDP($BE22,BT$6,"BEST_FPERIOD_OVERRIDE",BT$5,"BEST_DATA_SOURCE_OVERRIDE","BST","BEST_CONSOLIDATED_OVERRIDE","C")</f>
        <v>#NAME?</v>
      </c>
      <c r="BV22" s="191" t="e">
        <f ca="1">_xll.BDP($BE22,BV$6,"BEST_FPERIOD_OVERRIDE",BV$5,"BEST_DATA_SOURCE_OVERRIDE","BST","BEST_CONSOLIDATED_OVERRIDE","C")</f>
        <v>#NAME?</v>
      </c>
      <c r="BW22" s="191" t="e">
        <f ca="1">_xll.BDP($BE22,BW$6,"BEST_FPERIOD_OVERRIDE",BW$5,"BEST_DATA_SOURCE_OVERRIDE","BST","BEST_CONSOLIDATED_OVERRIDE","C")</f>
        <v>#NAME?</v>
      </c>
      <c r="BX22" s="191" t="e">
        <f ca="1">_xll.BDP($BE22,BX$6,"BEST_FPERIOD_OVERRIDE",BX$5,"BEST_DATA_SOURCE_OVERRIDE","BST","BEST_CONSOLIDATED_OVERRIDE","C")</f>
        <v>#NAME?</v>
      </c>
      <c r="BY22" s="191" t="e">
        <f ca="1">_xll.BDP($BE22,BY$6,"BEST_FPERIOD_OVERRIDE",BY$5,"BEST_DATA_SOURCE_OVERRIDE","BST","BEST_CONSOLIDATED_OVERRIDE","C")</f>
        <v>#NAME?</v>
      </c>
      <c r="BZ22" s="191" t="e">
        <f ca="1">_xll.BDP($BE22,BZ$6,"BEST_FPERIOD_OVERRIDE",BZ$5,"BEST_DATA_SOURCE_OVERRIDE","BST","BEST_CONSOLIDATED_OVERRIDE","C")</f>
        <v>#NAME?</v>
      </c>
      <c r="CA22" s="191" t="e">
        <f ca="1">_xll.BDP($BE22,CA$6,"BEST_FPERIOD_OVERRIDE",CA$5,"BEST_DATA_SOURCE_OVERRIDE","BST","BEST_CONSOLIDATED_OVERRIDE","C")</f>
        <v>#NAME?</v>
      </c>
      <c r="CB22" s="191" t="e">
        <f ca="1">_xll.BDP($BE22,CB$6,"BEST_FPERIOD_OVERRIDE",CB$5,"BEST_DATA_SOURCE_OVERRIDE","BST","BEST_CONSOLIDATED_OVERRIDE","C")</f>
        <v>#NAME?</v>
      </c>
      <c r="CC22" s="191" t="e">
        <f ca="1">_xll.BDP($BE22,CC$6,"BEST_FPERIOD_OVERRIDE",CC$5,"BEST_DATA_SOURCE_OVERRIDE","BST","BEST_CONSOLIDATED_OVERRIDE","C")</f>
        <v>#NAME?</v>
      </c>
      <c r="CD22" s="191" t="e">
        <f ca="1">_xll.BDP($BE22,CD$6,"BEST_FPERIOD_OVERRIDE",CD$5,"BEST_DATA_SOURCE_OVERRIDE","BST","BEST_CONSOLIDATED_OVERRIDE","C")</f>
        <v>#NAME?</v>
      </c>
      <c r="CE22" s="191" t="e">
        <f ca="1">_xll.BDP($BE22,CE$6,"BEST_FPERIOD_OVERRIDE",CE$5,"BEST_DATA_SOURCE_OVERRIDE","BST","BEST_CONSOLIDATED_OVERRIDE","C")</f>
        <v>#NAME?</v>
      </c>
      <c r="CF22" s="191" t="e">
        <f ca="1">_xll.BDP($BE22,CF$6,"BEST_FPERIOD_OVERRIDE",CF$5,"BEST_DATA_SOURCE_OVERRIDE","BST","BEST_CONSOLIDATED_OVERRIDE","C")</f>
        <v>#NAME?</v>
      </c>
      <c r="CG22" s="191" t="e">
        <f ca="1">_xll.BDP($BE22,CG$6,"BEST_FPERIOD_OVERRIDE",CG$5,"BEST_DATA_SOURCE_OVERRIDE","BST","BEST_CONSOLIDATED_OVERRIDE","C")</f>
        <v>#NAME?</v>
      </c>
      <c r="CH22" s="191"/>
      <c r="CI22" s="192" t="e">
        <f ca="1">_xll.BDP($BE22,CI$6,"BEST_FPERIOD_OVERRIDE",CI$5,"BEST_DATA_SOURCE_OVERRIDE","BST","BEST_CONSOLIDATED_OVERRIDE","C")</f>
        <v>#NAME?</v>
      </c>
      <c r="CJ22" s="192" t="e">
        <f ca="1">_xll.BDP($BE22,CJ$6,"BEST_FPERIOD_OVERRIDE",CJ$5,"BEST_DATA_SOURCE_OVERRIDE","BST","BEST_CONSOLIDATED_OVERRIDE","C")</f>
        <v>#NAME?</v>
      </c>
      <c r="CK22" s="192" t="e">
        <f ca="1">_xll.BDP($BE22,CK$6,"BEST_FPERIOD_OVERRIDE",CK$5,"BEST_DATA_SOURCE_OVERRIDE","BST","BEST_CONSOLIDATED_OVERRIDE","C")</f>
        <v>#NAME?</v>
      </c>
      <c r="CL22" s="192" t="e">
        <f ca="1">_xll.BDP($BE22,CL$6,"BEST_FPERIOD_OVERRIDE",CL$5,"BEST_DATA_SOURCE_OVERRIDE","BST","BEST_CONSOLIDATED_OVERRIDE","C")</f>
        <v>#NAME?</v>
      </c>
      <c r="CM22" s="192" t="e">
        <f ca="1">_xll.BDP($BE22,CM$6,"BEST_FPERIOD_OVERRIDE",CM$5,"BEST_DATA_SOURCE_OVERRIDE","BST","BEST_CONSOLIDATED_OVERRIDE","C")</f>
        <v>#NAME?</v>
      </c>
      <c r="CN22" s="192" t="e">
        <f ca="1">_xll.BDP($BE22,CN$6,"BEST_FPERIOD_OVERRIDE",CN$5,"BEST_DATA_SOURCE_OVERRIDE","BST","BEST_CONSOLIDATED_OVERRIDE","C")</f>
        <v>#NAME?</v>
      </c>
      <c r="CO22" s="192" t="e">
        <f ca="1">_xll.BDP($BE22,CO$6,"BEST_FPERIOD_OVERRIDE",CO$5,"BEST_DATA_SOURCE_OVERRIDE","BST","BEST_CONSOLIDATED_OVERRIDE","C")</f>
        <v>#NAME?</v>
      </c>
      <c r="CP22" s="192" t="e">
        <f ca="1">_xll.BDP($BE22,CP$6,"BEST_FPERIOD_OVERRIDE",CP$5,"BEST_DATA_SOURCE_OVERRIDE","BST","BEST_CONSOLIDATED_OVERRIDE","C")</f>
        <v>#NAME?</v>
      </c>
      <c r="CQ22" s="192" t="e">
        <f ca="1">_xll.BDP($BE22,CQ$6,"BEST_FPERIOD_OVERRIDE",CQ$5,"BEST_DATA_SOURCE_OVERRIDE","BST","BEST_CONSOLIDATED_OVERRIDE","C")</f>
        <v>#NAME?</v>
      </c>
      <c r="CR22" s="192" t="e">
        <f ca="1">_xll.BDP($BE22,CR$6,"BEST_FPERIOD_OVERRIDE",CR$5,"BEST_DATA_SOURCE_OVERRIDE","BST","BEST_CONSOLIDATED_OVERRIDE","C")</f>
        <v>#NAME?</v>
      </c>
      <c r="CS22" s="192" t="e">
        <f ca="1">_xll.BDP($BE22,CS$6,"BEST_FPERIOD_OVERRIDE",CS$5,"BEST_DATA_SOURCE_OVERRIDE","BST","BEST_CONSOLIDATED_OVERRIDE","C")</f>
        <v>#NAME?</v>
      </c>
      <c r="CT22" s="192" t="e">
        <f ca="1">_xll.BDP($BE22,CT$6,"BEST_FPERIOD_OVERRIDE",CT$5,"BEST_DATA_SOURCE_OVERRIDE","BST","BEST_CONSOLIDATED_OVERRIDE","C")</f>
        <v>#NAME?</v>
      </c>
    </row>
    <row r="23" spans="1:98" s="178" customFormat="1" ht="16.5" outlineLevel="1">
      <c r="A23" s="177" t="e">
        <f t="shared" ca="1" si="27"/>
        <v>#NAME?</v>
      </c>
      <c r="B23" s="178" t="e">
        <f ca="1">_xll.BDP(TEXT($F23,)&amp;" equity",TEXT($B$7,))</f>
        <v>#NAME?</v>
      </c>
      <c r="C23" s="178" t="s">
        <v>214</v>
      </c>
      <c r="D23" s="178" t="e">
        <f ca="1">_xll.BDP(TEXT($B23,)&amp;" Curncy",TEXT($D$7,))</f>
        <v>#NAME?</v>
      </c>
      <c r="E23" s="193" t="e">
        <f ca="1">_xll.BDP(TEXT(BloombergCode,)&amp;" equity","LONG_COMP_NAME")</f>
        <v>#NAME?</v>
      </c>
      <c r="F23" s="194" t="s">
        <v>218</v>
      </c>
      <c r="G23" s="217" t="e">
        <f t="shared" ca="1" si="28"/>
        <v>#NAME?</v>
      </c>
      <c r="H23" s="218" t="e">
        <f t="shared" ca="1" si="29"/>
        <v>#NAME?</v>
      </c>
      <c r="I23" s="197" t="e">
        <f t="shared" ca="1" si="30"/>
        <v>#NAME?</v>
      </c>
      <c r="J23" s="197" t="e">
        <f t="shared" ca="1" si="30"/>
        <v>#NAME?</v>
      </c>
      <c r="K23" s="197" t="e">
        <f t="shared" ca="1" si="30"/>
        <v>#NAME?</v>
      </c>
      <c r="L23" s="197" t="e">
        <f t="shared" ca="1" si="30"/>
        <v>#NAME?</v>
      </c>
      <c r="M23" s="197" t="e">
        <f t="shared" ca="1" si="30"/>
        <v>#NAME?</v>
      </c>
      <c r="N23" s="197" t="e">
        <f t="shared" ca="1" si="30"/>
        <v>#NAME?</v>
      </c>
      <c r="O23" s="197" t="e">
        <f t="shared" ca="1" si="30"/>
        <v>#NAME?</v>
      </c>
      <c r="P23" s="197" t="e">
        <f t="shared" ca="1" si="30"/>
        <v>#NAME?</v>
      </c>
      <c r="Q23" s="197" t="e">
        <f t="shared" ca="1" si="30"/>
        <v>#NAME?</v>
      </c>
      <c r="R23" s="197" t="e">
        <f t="shared" ca="1" si="30"/>
        <v>#NAME?</v>
      </c>
      <c r="S23" s="198" t="e">
        <f t="shared" ca="1" si="31"/>
        <v>#NAME?</v>
      </c>
      <c r="T23" s="197" t="e">
        <f t="shared" ca="1" si="31"/>
        <v>#NAME?</v>
      </c>
      <c r="U23" s="197" t="e">
        <f t="shared" ca="1" si="31"/>
        <v>#NAME?</v>
      </c>
      <c r="V23" s="197" t="e">
        <f t="shared" ca="1" si="31"/>
        <v>#NAME?</v>
      </c>
      <c r="W23" s="197" t="e">
        <f t="shared" ca="1" si="31"/>
        <v>#NAME?</v>
      </c>
      <c r="X23" s="197" t="e">
        <f t="shared" ca="1" si="31"/>
        <v>#NAME?</v>
      </c>
      <c r="Y23" s="197" t="e">
        <f t="shared" ca="1" si="31"/>
        <v>#NAME?</v>
      </c>
      <c r="Z23" s="197" t="e">
        <f t="shared" ca="1" si="31"/>
        <v>#NAME?</v>
      </c>
      <c r="AA23" s="197" t="e">
        <f t="shared" ca="1" si="31"/>
        <v>#NAME?</v>
      </c>
      <c r="AB23" s="197" t="e">
        <f t="shared" ca="1" si="31"/>
        <v>#NAME?</v>
      </c>
      <c r="AC23" s="199" t="e">
        <f t="shared" ca="1" si="32"/>
        <v>#NAME?</v>
      </c>
      <c r="AD23" s="200" t="e">
        <f t="shared" ca="1" si="33"/>
        <v>#NAME?</v>
      </c>
      <c r="AE23" s="200" t="e">
        <f t="shared" ca="1" si="34"/>
        <v>#NAME?</v>
      </c>
      <c r="AF23" s="200" t="e">
        <f t="shared" ca="1" si="35"/>
        <v>#NAME?</v>
      </c>
      <c r="AG23" s="200" t="e">
        <f t="shared" ca="1" si="36"/>
        <v>#NAME?</v>
      </c>
      <c r="AH23" s="200" t="e">
        <f t="shared" ca="1" si="37"/>
        <v>#NAME?</v>
      </c>
      <c r="AI23" s="200" t="e">
        <f t="shared" ca="1" si="38"/>
        <v>#NAME?</v>
      </c>
      <c r="AJ23" s="200" t="e">
        <f t="shared" ca="1" si="38"/>
        <v>#NAME?</v>
      </c>
      <c r="AK23" s="200" t="e">
        <f t="shared" ca="1" si="38"/>
        <v>#NAME?</v>
      </c>
      <c r="AL23" s="200" t="e">
        <f t="shared" ca="1" si="38"/>
        <v>#NAME?</v>
      </c>
      <c r="AM23" s="175"/>
      <c r="AN23" s="148" t="e">
        <f t="shared" ca="1" si="39"/>
        <v>#NAME?</v>
      </c>
      <c r="AO23" s="136"/>
      <c r="AP23" s="187" t="s">
        <v>216</v>
      </c>
      <c r="AQ23" s="136" t="s">
        <v>217</v>
      </c>
      <c r="AR23" s="188" t="e">
        <f ca="1">IF(LEFT(_xll.BDP(TEXT(BloombergCode,)&amp;" equity",TEXT(BloombergItem,)),1)="#",AV23,_xll.BDP(TEXT(BloombergCode,)&amp;" equity",TEXT(BloombergItem,)))</f>
        <v>#NAME?</v>
      </c>
      <c r="AS23" s="138" t="e">
        <f ca="1">IF(LEFT(_xll.BDP(AR23&amp;" Curncy",TEXT(BloombergItem,)),1)="#",AW23,_xll.BDP(AR23&amp;" Curncy",TEXT(BloombergItem,)))</f>
        <v>#NAME?</v>
      </c>
      <c r="AT23" s="138" t="e">
        <f ca="1">VLOOKUP('Global Properties'!$AR23,#REF!,2,0)</f>
        <v>#NAME?</v>
      </c>
      <c r="AU23" s="189" t="e">
        <f ca="1">_xll.BDP(AR23&amp;" Curncy",TEXT(BloombergItem,))</f>
        <v>#NAME?</v>
      </c>
      <c r="AV23" s="190" t="e">
        <f ca="1">_xll.BDP(TEXT(BloombergCode,)&amp;" equity",TEXT(BloombergItem,))</f>
        <v>#NAME?</v>
      </c>
      <c r="AW23" s="189" t="e">
        <f ca="1">_xll.BDP(AV23&amp;" Curncy",TEXT(BloombergItem,))</f>
        <v>#NAME?</v>
      </c>
      <c r="AX23" s="138" t="e">
        <f ca="1">VLOOKUP('Global Properties'!$AV23,#REF!,2,0)</f>
        <v>#NAME?</v>
      </c>
      <c r="AY23" s="219" t="e">
        <f ca="1">_xll.BDP(TEXT(BloombergCode,)&amp;" equity",TEXT(BloombergItem,))</f>
        <v>#NAME?</v>
      </c>
      <c r="AZ23" s="219" t="e">
        <f ca="1">_xll.BDP(TEXT(BloombergCode,)&amp;" equity",TEXT(BloombergItem,))</f>
        <v>#NAME?</v>
      </c>
      <c r="BA23" s="220" t="e">
        <f ca="1">_xll.BDP(TEXT(BloombergCode,)&amp;" equity",TEXT(BloombergItem,))</f>
        <v>#NAME?</v>
      </c>
      <c r="BB23" s="220" t="e">
        <f ca="1">_xll.BDP(TEXT(BloombergCode,)&amp;" equity",TEXT(BloombergItem,))</f>
        <v>#NAME?</v>
      </c>
      <c r="BC23" s="220" t="e">
        <f ca="1">_xll.BDP(TEXT(BloombergCode,)&amp;" equity",TEXT(BloombergItem,))</f>
        <v>#NAME?</v>
      </c>
      <c r="BD23" s="190"/>
      <c r="BE23" s="139" t="str">
        <f t="shared" si="40"/>
        <v>LI FP equity</v>
      </c>
      <c r="BF23" s="139"/>
      <c r="BH23" s="191"/>
      <c r="BI23" s="191" t="e">
        <f ca="1">_xll.BDP($BE23,BI$6,"BEST_FPERIOD_OVERRIDE",BI$5,"BEST_DATA_SOURCE_OVERRIDE","BST","BEST_CONSOLIDATED_OVERRIDE","C")</f>
        <v>#NAME?</v>
      </c>
      <c r="BJ23" s="191" t="e">
        <f ca="1">_xll.BDP($BE23,BJ$6,"BEST_FPERIOD_OVERRIDE",BJ$5,"BEST_DATA_SOURCE_OVERRIDE","BST","BEST_CONSOLIDATED_OVERRIDE","C")</f>
        <v>#NAME?</v>
      </c>
      <c r="BK23" s="191" t="e">
        <f ca="1">_xll.BDP($BE23,BK$6,"BEST_FPERIOD_OVERRIDE",BK$5,"BEST_DATA_SOURCE_OVERRIDE","BST","BEST_CONSOLIDATED_OVERRIDE","C")</f>
        <v>#NAME?</v>
      </c>
      <c r="BL23" s="191" t="e">
        <f ca="1">_xll.BDP($BE23,BL$6,"BEST_FPERIOD_OVERRIDE",BL$5,"BEST_DATA_SOURCE_OVERRIDE","BST","BEST_CONSOLIDATED_OVERRIDE","C")</f>
        <v>#NAME?</v>
      </c>
      <c r="BM23" s="191" t="e">
        <f ca="1">_xll.BDP($BE23,BM$6,"BEST_FPERIOD_OVERRIDE",BM$5,"BEST_DATA_SOURCE_OVERRIDE","BST","BEST_CONSOLIDATED_OVERRIDE","C")</f>
        <v>#NAME?</v>
      </c>
      <c r="BN23" s="191" t="e">
        <f ca="1">_xll.BDP($BE23,BN$6,"BEST_FPERIOD_OVERRIDE",BN$5,"BEST_DATA_SOURCE_OVERRIDE","BST","BEST_CONSOLIDATED_OVERRIDE","C")</f>
        <v>#NAME?</v>
      </c>
      <c r="BO23" s="191" t="e">
        <f ca="1">_xll.BDP($BE23,BO$6,"BEST_FPERIOD_OVERRIDE",BO$5,"BEST_DATA_SOURCE_OVERRIDE","BST","BEST_CONSOLIDATED_OVERRIDE","C")</f>
        <v>#NAME?</v>
      </c>
      <c r="BP23" s="191" t="e">
        <f ca="1">_xll.BDP($BE23,BP$6,"BEST_FPERIOD_OVERRIDE",BP$5,"BEST_DATA_SOURCE_OVERRIDE","BST","BEST_CONSOLIDATED_OVERRIDE","C")</f>
        <v>#NAME?</v>
      </c>
      <c r="BQ23" s="191" t="e">
        <f ca="1">_xll.BDP($BE23,BQ$6,"BEST_FPERIOD_OVERRIDE",BQ$5,"BEST_DATA_SOURCE_OVERRIDE","BST","BEST_CONSOLIDATED_OVERRIDE","C")</f>
        <v>#NAME?</v>
      </c>
      <c r="BR23" s="191" t="e">
        <f ca="1">_xll.BDP($BE23,BR$6,"BEST_FPERIOD_OVERRIDE",BR$5,"BEST_DATA_SOURCE_OVERRIDE","BST","BEST_CONSOLIDATED_OVERRIDE","C")</f>
        <v>#NAME?</v>
      </c>
      <c r="BS23" s="191" t="e">
        <f ca="1">_xll.BDP($BE23,BS$6,"BEST_FPERIOD_OVERRIDE",BS$5,"BEST_DATA_SOURCE_OVERRIDE","BST","BEST_CONSOLIDATED_OVERRIDE","C")</f>
        <v>#NAME?</v>
      </c>
      <c r="BT23" s="191" t="e">
        <f ca="1">_xll.BDP($BE23,BT$6,"BEST_FPERIOD_OVERRIDE",BT$5,"BEST_DATA_SOURCE_OVERRIDE","BST","BEST_CONSOLIDATED_OVERRIDE","C")</f>
        <v>#NAME?</v>
      </c>
      <c r="BV23" s="191" t="e">
        <f ca="1">_xll.BDP($BE23,BV$6,"BEST_FPERIOD_OVERRIDE",BV$5,"BEST_DATA_SOURCE_OVERRIDE","BST","BEST_CONSOLIDATED_OVERRIDE","C")</f>
        <v>#NAME?</v>
      </c>
      <c r="BW23" s="191" t="e">
        <f ca="1">_xll.BDP($BE23,BW$6,"BEST_FPERIOD_OVERRIDE",BW$5,"BEST_DATA_SOURCE_OVERRIDE","BST","BEST_CONSOLIDATED_OVERRIDE","C")</f>
        <v>#NAME?</v>
      </c>
      <c r="BX23" s="191" t="e">
        <f ca="1">_xll.BDP($BE23,BX$6,"BEST_FPERIOD_OVERRIDE",BX$5,"BEST_DATA_SOURCE_OVERRIDE","BST","BEST_CONSOLIDATED_OVERRIDE","C")</f>
        <v>#NAME?</v>
      </c>
      <c r="BY23" s="191" t="e">
        <f ca="1">_xll.BDP($BE23,BY$6,"BEST_FPERIOD_OVERRIDE",BY$5,"BEST_DATA_SOURCE_OVERRIDE","BST","BEST_CONSOLIDATED_OVERRIDE","C")</f>
        <v>#NAME?</v>
      </c>
      <c r="BZ23" s="191" t="e">
        <f ca="1">_xll.BDP($BE23,BZ$6,"BEST_FPERIOD_OVERRIDE",BZ$5,"BEST_DATA_SOURCE_OVERRIDE","BST","BEST_CONSOLIDATED_OVERRIDE","C")</f>
        <v>#NAME?</v>
      </c>
      <c r="CA23" s="191" t="e">
        <f ca="1">_xll.BDP($BE23,CA$6,"BEST_FPERIOD_OVERRIDE",CA$5,"BEST_DATA_SOURCE_OVERRIDE","BST","BEST_CONSOLIDATED_OVERRIDE","C")</f>
        <v>#NAME?</v>
      </c>
      <c r="CB23" s="191" t="e">
        <f ca="1">_xll.BDP($BE23,CB$6,"BEST_FPERIOD_OVERRIDE",CB$5,"BEST_DATA_SOURCE_OVERRIDE","BST","BEST_CONSOLIDATED_OVERRIDE","C")</f>
        <v>#NAME?</v>
      </c>
      <c r="CC23" s="191" t="e">
        <f ca="1">_xll.BDP($BE23,CC$6,"BEST_FPERIOD_OVERRIDE",CC$5,"BEST_DATA_SOURCE_OVERRIDE","BST","BEST_CONSOLIDATED_OVERRIDE","C")</f>
        <v>#NAME?</v>
      </c>
      <c r="CD23" s="191" t="e">
        <f ca="1">_xll.BDP($BE23,CD$6,"BEST_FPERIOD_OVERRIDE",CD$5,"BEST_DATA_SOURCE_OVERRIDE","BST","BEST_CONSOLIDATED_OVERRIDE","C")</f>
        <v>#NAME?</v>
      </c>
      <c r="CE23" s="191" t="e">
        <f ca="1">_xll.BDP($BE23,CE$6,"BEST_FPERIOD_OVERRIDE",CE$5,"BEST_DATA_SOURCE_OVERRIDE","BST","BEST_CONSOLIDATED_OVERRIDE","C")</f>
        <v>#NAME?</v>
      </c>
      <c r="CF23" s="191" t="e">
        <f ca="1">_xll.BDP($BE23,CF$6,"BEST_FPERIOD_OVERRIDE",CF$5,"BEST_DATA_SOURCE_OVERRIDE","BST","BEST_CONSOLIDATED_OVERRIDE","C")</f>
        <v>#NAME?</v>
      </c>
      <c r="CG23" s="191" t="e">
        <f ca="1">_xll.BDP($BE23,CG$6,"BEST_FPERIOD_OVERRIDE",CG$5,"BEST_DATA_SOURCE_OVERRIDE","BST","BEST_CONSOLIDATED_OVERRIDE","C")</f>
        <v>#NAME?</v>
      </c>
      <c r="CH23" s="191"/>
      <c r="CI23" s="192" t="e">
        <f ca="1">_xll.BDP($BE23,CI$6,"BEST_FPERIOD_OVERRIDE",CI$5,"BEST_DATA_SOURCE_OVERRIDE","BST","BEST_CONSOLIDATED_OVERRIDE","C")</f>
        <v>#NAME?</v>
      </c>
      <c r="CJ23" s="192" t="e">
        <f ca="1">_xll.BDP($BE23,CJ$6,"BEST_FPERIOD_OVERRIDE",CJ$5,"BEST_DATA_SOURCE_OVERRIDE","BST","BEST_CONSOLIDATED_OVERRIDE","C")</f>
        <v>#NAME?</v>
      </c>
      <c r="CK23" s="192" t="e">
        <f ca="1">_xll.BDP($BE23,CK$6,"BEST_FPERIOD_OVERRIDE",CK$5,"BEST_DATA_SOURCE_OVERRIDE","BST","BEST_CONSOLIDATED_OVERRIDE","C")</f>
        <v>#NAME?</v>
      </c>
      <c r="CL23" s="192" t="e">
        <f ca="1">_xll.BDP($BE23,CL$6,"BEST_FPERIOD_OVERRIDE",CL$5,"BEST_DATA_SOURCE_OVERRIDE","BST","BEST_CONSOLIDATED_OVERRIDE","C")</f>
        <v>#NAME?</v>
      </c>
      <c r="CM23" s="192" t="e">
        <f ca="1">_xll.BDP($BE23,CM$6,"BEST_FPERIOD_OVERRIDE",CM$5,"BEST_DATA_SOURCE_OVERRIDE","BST","BEST_CONSOLIDATED_OVERRIDE","C")</f>
        <v>#NAME?</v>
      </c>
      <c r="CN23" s="192" t="e">
        <f ca="1">_xll.BDP($BE23,CN$6,"BEST_FPERIOD_OVERRIDE",CN$5,"BEST_DATA_SOURCE_OVERRIDE","BST","BEST_CONSOLIDATED_OVERRIDE","C")</f>
        <v>#NAME?</v>
      </c>
      <c r="CO23" s="192" t="e">
        <f ca="1">_xll.BDP($BE23,CO$6,"BEST_FPERIOD_OVERRIDE",CO$5,"BEST_DATA_SOURCE_OVERRIDE","BST","BEST_CONSOLIDATED_OVERRIDE","C")</f>
        <v>#NAME?</v>
      </c>
      <c r="CP23" s="192" t="e">
        <f ca="1">_xll.BDP($BE23,CP$6,"BEST_FPERIOD_OVERRIDE",CP$5,"BEST_DATA_SOURCE_OVERRIDE","BST","BEST_CONSOLIDATED_OVERRIDE","C")</f>
        <v>#NAME?</v>
      </c>
      <c r="CQ23" s="192" t="e">
        <f ca="1">_xll.BDP($BE23,CQ$6,"BEST_FPERIOD_OVERRIDE",CQ$5,"BEST_DATA_SOURCE_OVERRIDE","BST","BEST_CONSOLIDATED_OVERRIDE","C")</f>
        <v>#NAME?</v>
      </c>
      <c r="CR23" s="192" t="e">
        <f ca="1">_xll.BDP($BE23,CR$6,"BEST_FPERIOD_OVERRIDE",CR$5,"BEST_DATA_SOURCE_OVERRIDE","BST","BEST_CONSOLIDATED_OVERRIDE","C")</f>
        <v>#NAME?</v>
      </c>
      <c r="CS23" s="192" t="e">
        <f ca="1">_xll.BDP($BE23,CS$6,"BEST_FPERIOD_OVERRIDE",CS$5,"BEST_DATA_SOURCE_OVERRIDE","BST","BEST_CONSOLIDATED_OVERRIDE","C")</f>
        <v>#NAME?</v>
      </c>
      <c r="CT23" s="192" t="e">
        <f ca="1">_xll.BDP($BE23,CT$6,"BEST_FPERIOD_OVERRIDE",CT$5,"BEST_DATA_SOURCE_OVERRIDE","BST","BEST_CONSOLIDATED_OVERRIDE","C")</f>
        <v>#NAME?</v>
      </c>
    </row>
    <row r="24" spans="1:98" s="178" customFormat="1" ht="16.5" outlineLevel="1">
      <c r="A24" s="177" t="e">
        <f t="shared" ca="1" si="27"/>
        <v>#NAME?</v>
      </c>
      <c r="B24" s="178" t="e">
        <f ca="1">_xll.BDP(TEXT($F24,)&amp;" equity",TEXT($B$7,))</f>
        <v>#NAME?</v>
      </c>
      <c r="C24" s="178" t="s">
        <v>214</v>
      </c>
      <c r="D24" s="178" t="e">
        <f ca="1">_xll.BDP(TEXT($B24,)&amp;" Curncy",TEXT($D$7,))</f>
        <v>#NAME?</v>
      </c>
      <c r="E24" s="241" t="e">
        <f ca="1">_xll.BDP(TEXT(BloombergCode,)&amp;" equity","LONG_COMP_NAME")</f>
        <v>#NAME?</v>
      </c>
      <c r="F24" s="242" t="s">
        <v>259</v>
      </c>
      <c r="G24" s="243" t="e">
        <f t="shared" ca="1" si="28"/>
        <v>#NAME?</v>
      </c>
      <c r="H24" s="244" t="e">
        <f t="shared" ca="1" si="29"/>
        <v>#NAME?</v>
      </c>
      <c r="I24" s="221" t="e">
        <f t="shared" ca="1" si="30"/>
        <v>#NAME?</v>
      </c>
      <c r="J24" s="221" t="e">
        <f t="shared" ca="1" si="30"/>
        <v>#NAME?</v>
      </c>
      <c r="K24" s="221" t="e">
        <f t="shared" ca="1" si="30"/>
        <v>#NAME?</v>
      </c>
      <c r="L24" s="221" t="e">
        <f t="shared" ca="1" si="30"/>
        <v>#NAME?</v>
      </c>
      <c r="M24" s="221" t="e">
        <f t="shared" ca="1" si="30"/>
        <v>#NAME?</v>
      </c>
      <c r="N24" s="221" t="e">
        <f t="shared" ca="1" si="30"/>
        <v>#NAME?</v>
      </c>
      <c r="O24" s="221" t="e">
        <f t="shared" ca="1" si="30"/>
        <v>#NAME?</v>
      </c>
      <c r="P24" s="221" t="e">
        <f t="shared" ca="1" si="30"/>
        <v>#NAME?</v>
      </c>
      <c r="Q24" s="221" t="e">
        <f t="shared" ca="1" si="30"/>
        <v>#NAME?</v>
      </c>
      <c r="R24" s="221" t="e">
        <f t="shared" ca="1" si="30"/>
        <v>#NAME?</v>
      </c>
      <c r="S24" s="245" t="e">
        <f t="shared" ref="S24:AB24" ca="1" si="41">$G24/BK24/100</f>
        <v>#NAME?</v>
      </c>
      <c r="T24" s="221" t="e">
        <f t="shared" ca="1" si="41"/>
        <v>#NAME?</v>
      </c>
      <c r="U24" s="221" t="e">
        <f t="shared" ca="1" si="41"/>
        <v>#NAME?</v>
      </c>
      <c r="V24" s="221" t="e">
        <f t="shared" ca="1" si="41"/>
        <v>#NAME?</v>
      </c>
      <c r="W24" s="221" t="e">
        <f t="shared" ca="1" si="41"/>
        <v>#NAME?</v>
      </c>
      <c r="X24" s="221" t="e">
        <f t="shared" ca="1" si="41"/>
        <v>#NAME?</v>
      </c>
      <c r="Y24" s="221" t="e">
        <f t="shared" ca="1" si="41"/>
        <v>#NAME?</v>
      </c>
      <c r="Z24" s="221" t="e">
        <f t="shared" ca="1" si="41"/>
        <v>#NAME?</v>
      </c>
      <c r="AA24" s="221" t="e">
        <f t="shared" ca="1" si="41"/>
        <v>#NAME?</v>
      </c>
      <c r="AB24" s="221" t="e">
        <f t="shared" ca="1" si="41"/>
        <v>#NAME?</v>
      </c>
      <c r="AC24" s="246" t="e">
        <f t="shared" ca="1" si="32"/>
        <v>#NAME?</v>
      </c>
      <c r="AD24" s="247" t="e">
        <f t="shared" ca="1" si="33"/>
        <v>#NAME?</v>
      </c>
      <c r="AE24" s="247" t="e">
        <f t="shared" ca="1" si="34"/>
        <v>#NAME?</v>
      </c>
      <c r="AF24" s="247" t="e">
        <f t="shared" ca="1" si="35"/>
        <v>#NAME?</v>
      </c>
      <c r="AG24" s="247" t="e">
        <f t="shared" ca="1" si="36"/>
        <v>#NAME?</v>
      </c>
      <c r="AH24" s="247" t="e">
        <f t="shared" ca="1" si="37"/>
        <v>#NAME?</v>
      </c>
      <c r="AI24" s="247" t="e">
        <f t="shared" ca="1" si="38"/>
        <v>#NAME?</v>
      </c>
      <c r="AJ24" s="247" t="e">
        <f t="shared" ca="1" si="38"/>
        <v>#NAME?</v>
      </c>
      <c r="AK24" s="247" t="e">
        <f t="shared" ca="1" si="38"/>
        <v>#NAME?</v>
      </c>
      <c r="AL24" s="247" t="e">
        <f t="shared" ca="1" si="38"/>
        <v>#NAME?</v>
      </c>
      <c r="AM24" s="175"/>
      <c r="AN24" s="148" t="e">
        <f t="shared" ca="1" si="39"/>
        <v>#NAME?</v>
      </c>
      <c r="AO24" s="136"/>
      <c r="AP24" s="187" t="s">
        <v>216</v>
      </c>
      <c r="AQ24" s="136" t="s">
        <v>217</v>
      </c>
      <c r="AR24" s="188" t="e">
        <f ca="1">IF(LEFT(_xll.BDP(TEXT(BloombergCode,)&amp;" equity",TEXT(BloombergItem,)),1)="#",AV24,_xll.BDP(TEXT(BloombergCode,)&amp;" equity",TEXT(BloombergItem,)))</f>
        <v>#NAME?</v>
      </c>
      <c r="AS24" s="138" t="e">
        <f ca="1">IF(LEFT(_xll.BDP(AR24&amp;" Curncy",TEXT(BloombergItem,)),1)="#",AW24,_xll.BDP(AR24&amp;" Curncy",TEXT(BloombergItem,)))</f>
        <v>#NAME?</v>
      </c>
      <c r="AT24" s="138" t="e">
        <f ca="1">VLOOKUP('Global Properties'!$AR24,#REF!,2,0)</f>
        <v>#NAME?</v>
      </c>
      <c r="AU24" s="189" t="e">
        <f ca="1">_xll.BDP(AR24&amp;" Curncy",TEXT(BloombergItem,))</f>
        <v>#NAME?</v>
      </c>
      <c r="AV24" s="190" t="e">
        <f ca="1">_xll.BDP(TEXT(BloombergCode,)&amp;" equity",TEXT(BloombergItem,))</f>
        <v>#NAME?</v>
      </c>
      <c r="AW24" s="189" t="e">
        <f ca="1">_xll.BDP(AV24&amp;" Curncy",TEXT(BloombergItem,))</f>
        <v>#NAME?</v>
      </c>
      <c r="AX24" s="138" t="e">
        <f ca="1">VLOOKUP('Global Properties'!$AV24,#REF!,2,0)</f>
        <v>#NAME?</v>
      </c>
      <c r="AY24" s="219" t="e">
        <f ca="1">_xll.BDP(TEXT(BloombergCode,)&amp;" equity",TEXT(BloombergItem,))</f>
        <v>#NAME?</v>
      </c>
      <c r="AZ24" s="219" t="e">
        <f ca="1">_xll.BDP(TEXT(BloombergCode,)&amp;" equity",TEXT(BloombergItem,))</f>
        <v>#NAME?</v>
      </c>
      <c r="BA24" s="220" t="e">
        <f ca="1">_xll.BDP(TEXT(BloombergCode,)&amp;" equity",TEXT(BloombergItem,))</f>
        <v>#NAME?</v>
      </c>
      <c r="BB24" s="220" t="e">
        <f ca="1">_xll.BDP(TEXT(BloombergCode,)&amp;" equity",TEXT(BloombergItem,))</f>
        <v>#NAME?</v>
      </c>
      <c r="BC24" s="220" t="e">
        <f ca="1">_xll.BDP(TEXT(BloombergCode,)&amp;" equity",TEXT(BloombergItem,))</f>
        <v>#NAME?</v>
      </c>
      <c r="BD24" s="190"/>
      <c r="BE24" s="139" t="str">
        <f t="shared" si="40"/>
        <v>WHA NA equity</v>
      </c>
      <c r="BF24" s="139"/>
      <c r="BH24" s="191"/>
      <c r="BI24" s="191" t="e">
        <f ca="1">_xll.BDP($BE24,BI$6,"BEST_FPERIOD_OVERRIDE",BI$5,"BEST_DATA_SOURCE_OVERRIDE","BST","BEST_CONSOLIDATED_OVERRIDE","C")</f>
        <v>#NAME?</v>
      </c>
      <c r="BJ24" s="191" t="e">
        <f ca="1">_xll.BDP($BE24,BJ$6,"BEST_FPERIOD_OVERRIDE",BJ$5,"BEST_DATA_SOURCE_OVERRIDE","BST","BEST_CONSOLIDATED_OVERRIDE","C")</f>
        <v>#NAME?</v>
      </c>
      <c r="BK24" s="191" t="e">
        <f ca="1">_xll.BDP($BE24,BK$6,"BEST_FPERIOD_OVERRIDE",BK$5,"BEST_DATA_SOURCE_OVERRIDE","BST","BEST_CONSOLIDATED_OVERRIDE","C")</f>
        <v>#NAME?</v>
      </c>
      <c r="BL24" s="191" t="e">
        <f ca="1">_xll.BDP($BE24,BL$6,"BEST_FPERIOD_OVERRIDE",BL$5,"BEST_DATA_SOURCE_OVERRIDE","BST","BEST_CONSOLIDATED_OVERRIDE","C")</f>
        <v>#NAME?</v>
      </c>
      <c r="BM24" s="191" t="e">
        <f ca="1">_xll.BDP($BE24,BM$6,"BEST_FPERIOD_OVERRIDE",BM$5,"BEST_DATA_SOURCE_OVERRIDE","BST","BEST_CONSOLIDATED_OVERRIDE","C")</f>
        <v>#NAME?</v>
      </c>
      <c r="BN24" s="191" t="e">
        <f ca="1">_xll.BDP($BE24,BN$6,"BEST_FPERIOD_OVERRIDE",BN$5,"BEST_DATA_SOURCE_OVERRIDE","BST","BEST_CONSOLIDATED_OVERRIDE","C")</f>
        <v>#NAME?</v>
      </c>
      <c r="BO24" s="191" t="e">
        <f ca="1">_xll.BDP($BE24,BO$6,"BEST_FPERIOD_OVERRIDE",BO$5,"BEST_DATA_SOURCE_OVERRIDE","BST","BEST_CONSOLIDATED_OVERRIDE","C")</f>
        <v>#NAME?</v>
      </c>
      <c r="BP24" s="191" t="e">
        <f ca="1">_xll.BDP($BE24,BP$6,"BEST_FPERIOD_OVERRIDE",BP$5,"BEST_DATA_SOURCE_OVERRIDE","BST","BEST_CONSOLIDATED_OVERRIDE","C")</f>
        <v>#NAME?</v>
      </c>
      <c r="BQ24" s="191" t="e">
        <f ca="1">_xll.BDP($BE24,BQ$6,"BEST_FPERIOD_OVERRIDE",BQ$5,"BEST_DATA_SOURCE_OVERRIDE","BST","BEST_CONSOLIDATED_OVERRIDE","C")</f>
        <v>#NAME?</v>
      </c>
      <c r="BR24" s="191" t="e">
        <f ca="1">_xll.BDP($BE24,BR$6,"BEST_FPERIOD_OVERRIDE",BR$5,"BEST_DATA_SOURCE_OVERRIDE","BST","BEST_CONSOLIDATED_OVERRIDE","C")</f>
        <v>#NAME?</v>
      </c>
      <c r="BS24" s="191" t="e">
        <f ca="1">_xll.BDP($BE24,BS$6,"BEST_FPERIOD_OVERRIDE",BS$5,"BEST_DATA_SOURCE_OVERRIDE","BST","BEST_CONSOLIDATED_OVERRIDE","C")</f>
        <v>#NAME?</v>
      </c>
      <c r="BT24" s="191" t="e">
        <f ca="1">_xll.BDP($BE24,BT$6,"BEST_FPERIOD_OVERRIDE",BT$5,"BEST_DATA_SOURCE_OVERRIDE","BST","BEST_CONSOLIDATED_OVERRIDE","C")</f>
        <v>#NAME?</v>
      </c>
      <c r="BV24" s="191" t="e">
        <f ca="1">_xll.BDP($BE24,BV$6,"BEST_FPERIOD_OVERRIDE",BV$5,"BEST_DATA_SOURCE_OVERRIDE","BST","BEST_CONSOLIDATED_OVERRIDE","C")</f>
        <v>#NAME?</v>
      </c>
      <c r="BW24" s="191" t="e">
        <f ca="1">_xll.BDP($BE24,BW$6,"BEST_FPERIOD_OVERRIDE",BW$5,"BEST_DATA_SOURCE_OVERRIDE","BST","BEST_CONSOLIDATED_OVERRIDE","C")</f>
        <v>#NAME?</v>
      </c>
      <c r="BX24" s="191" t="e">
        <f ca="1">_xll.BDP($BE24,BX$6,"BEST_FPERIOD_OVERRIDE",BX$5,"BEST_DATA_SOURCE_OVERRIDE","BST","BEST_CONSOLIDATED_OVERRIDE","C")</f>
        <v>#NAME?</v>
      </c>
      <c r="BY24" s="191" t="e">
        <f ca="1">_xll.BDP($BE24,BY$6,"BEST_FPERIOD_OVERRIDE",BY$5,"BEST_DATA_SOURCE_OVERRIDE","BST","BEST_CONSOLIDATED_OVERRIDE","C")</f>
        <v>#NAME?</v>
      </c>
      <c r="BZ24" s="191" t="e">
        <f ca="1">_xll.BDP($BE24,BZ$6,"BEST_FPERIOD_OVERRIDE",BZ$5,"BEST_DATA_SOURCE_OVERRIDE","BST","BEST_CONSOLIDATED_OVERRIDE","C")</f>
        <v>#NAME?</v>
      </c>
      <c r="CA24" s="191" t="e">
        <f ca="1">_xll.BDP($BE24,CA$6,"BEST_FPERIOD_OVERRIDE",CA$5,"BEST_DATA_SOURCE_OVERRIDE","BST","BEST_CONSOLIDATED_OVERRIDE","C")</f>
        <v>#NAME?</v>
      </c>
      <c r="CB24" s="191" t="e">
        <f ca="1">_xll.BDP($BE24,CB$6,"BEST_FPERIOD_OVERRIDE",CB$5,"BEST_DATA_SOURCE_OVERRIDE","BST","BEST_CONSOLIDATED_OVERRIDE","C")</f>
        <v>#NAME?</v>
      </c>
      <c r="CC24" s="191" t="e">
        <f ca="1">_xll.BDP($BE24,CC$6,"BEST_FPERIOD_OVERRIDE",CC$5,"BEST_DATA_SOURCE_OVERRIDE","BST","BEST_CONSOLIDATED_OVERRIDE","C")</f>
        <v>#NAME?</v>
      </c>
      <c r="CD24" s="191" t="e">
        <f ca="1">_xll.BDP($BE24,CD$6,"BEST_FPERIOD_OVERRIDE",CD$5,"BEST_DATA_SOURCE_OVERRIDE","BST","BEST_CONSOLIDATED_OVERRIDE","C")</f>
        <v>#NAME?</v>
      </c>
      <c r="CE24" s="191" t="e">
        <f ca="1">_xll.BDP($BE24,CE$6,"BEST_FPERIOD_OVERRIDE",CE$5,"BEST_DATA_SOURCE_OVERRIDE","BST","BEST_CONSOLIDATED_OVERRIDE","C")</f>
        <v>#NAME?</v>
      </c>
      <c r="CF24" s="191" t="e">
        <f ca="1">_xll.BDP($BE24,CF$6,"BEST_FPERIOD_OVERRIDE",CF$5,"BEST_DATA_SOURCE_OVERRIDE","BST","BEST_CONSOLIDATED_OVERRIDE","C")</f>
        <v>#NAME?</v>
      </c>
      <c r="CG24" s="191" t="e">
        <f ca="1">_xll.BDP($BE24,CG$6,"BEST_FPERIOD_OVERRIDE",CG$5,"BEST_DATA_SOURCE_OVERRIDE","BST","BEST_CONSOLIDATED_OVERRIDE","C")</f>
        <v>#NAME?</v>
      </c>
      <c r="CH24" s="191"/>
      <c r="CI24" s="192" t="e">
        <f ca="1">_xll.BDP($BE24,CI$6,"BEST_FPERIOD_OVERRIDE",CI$5,"BEST_DATA_SOURCE_OVERRIDE","BST","BEST_CONSOLIDATED_OVERRIDE","C")</f>
        <v>#NAME?</v>
      </c>
      <c r="CJ24" s="192" t="e">
        <f ca="1">_xll.BDP($BE24,CJ$6,"BEST_FPERIOD_OVERRIDE",CJ$5,"BEST_DATA_SOURCE_OVERRIDE","BST","BEST_CONSOLIDATED_OVERRIDE","C")</f>
        <v>#NAME?</v>
      </c>
      <c r="CK24" s="192" t="e">
        <f ca="1">_xll.BDP($BE24,CK$6,"BEST_FPERIOD_OVERRIDE",CK$5,"BEST_DATA_SOURCE_OVERRIDE","BST","BEST_CONSOLIDATED_OVERRIDE","C")</f>
        <v>#NAME?</v>
      </c>
      <c r="CL24" s="192" t="e">
        <f ca="1">_xll.BDP($BE24,CL$6,"BEST_FPERIOD_OVERRIDE",CL$5,"BEST_DATA_SOURCE_OVERRIDE","BST","BEST_CONSOLIDATED_OVERRIDE","C")</f>
        <v>#NAME?</v>
      </c>
      <c r="CM24" s="192" t="e">
        <f ca="1">_xll.BDP($BE24,CM$6,"BEST_FPERIOD_OVERRIDE",CM$5,"BEST_DATA_SOURCE_OVERRIDE","BST","BEST_CONSOLIDATED_OVERRIDE","C")</f>
        <v>#NAME?</v>
      </c>
      <c r="CN24" s="192" t="e">
        <f ca="1">_xll.BDP($BE24,CN$6,"BEST_FPERIOD_OVERRIDE",CN$5,"BEST_DATA_SOURCE_OVERRIDE","BST","BEST_CONSOLIDATED_OVERRIDE","C")</f>
        <v>#NAME?</v>
      </c>
      <c r="CO24" s="192" t="e">
        <f ca="1">_xll.BDP($BE24,CO$6,"BEST_FPERIOD_OVERRIDE",CO$5,"BEST_DATA_SOURCE_OVERRIDE","BST","BEST_CONSOLIDATED_OVERRIDE","C")</f>
        <v>#NAME?</v>
      </c>
      <c r="CP24" s="192" t="e">
        <f ca="1">_xll.BDP($BE24,CP$6,"BEST_FPERIOD_OVERRIDE",CP$5,"BEST_DATA_SOURCE_OVERRIDE","BST","BEST_CONSOLIDATED_OVERRIDE","C")</f>
        <v>#NAME?</v>
      </c>
      <c r="CQ24" s="192" t="e">
        <f ca="1">_xll.BDP($BE24,CQ$6,"BEST_FPERIOD_OVERRIDE",CQ$5,"BEST_DATA_SOURCE_OVERRIDE","BST","BEST_CONSOLIDATED_OVERRIDE","C")</f>
        <v>#NAME?</v>
      </c>
      <c r="CR24" s="192" t="e">
        <f ca="1">_xll.BDP($BE24,CR$6,"BEST_FPERIOD_OVERRIDE",CR$5,"BEST_DATA_SOURCE_OVERRIDE","BST","BEST_CONSOLIDATED_OVERRIDE","C")</f>
        <v>#NAME?</v>
      </c>
      <c r="CS24" s="192" t="e">
        <f ca="1">_xll.BDP($BE24,CS$6,"BEST_FPERIOD_OVERRIDE",CS$5,"BEST_DATA_SOURCE_OVERRIDE","BST","BEST_CONSOLIDATED_OVERRIDE","C")</f>
        <v>#NAME?</v>
      </c>
      <c r="CT24" s="192" t="e">
        <f ca="1">_xll.BDP($BE24,CT$6,"BEST_FPERIOD_OVERRIDE",CT$5,"BEST_DATA_SOURCE_OVERRIDE","BST","BEST_CONSOLIDATED_OVERRIDE","C")</f>
        <v>#NAME?</v>
      </c>
    </row>
    <row r="25" spans="1:98" s="178" customFormat="1" ht="16.5" outlineLevel="1">
      <c r="A25" s="177" t="e">
        <f t="shared" ca="1" si="27"/>
        <v>#NAME?</v>
      </c>
      <c r="B25" s="178" t="e">
        <f ca="1">_xll.BDP(TEXT($F25,)&amp;" equity",TEXT($B$7,))</f>
        <v>#NAME?</v>
      </c>
      <c r="C25" s="178" t="s">
        <v>214</v>
      </c>
      <c r="D25" s="178" t="e">
        <f ca="1">_xll.BDP(TEXT($B25,)&amp;" Curncy",TEXT($D$7,))</f>
        <v>#NAME?</v>
      </c>
      <c r="E25" s="193" t="e">
        <f ca="1">_xll.BDP(TEXT(BloombergCode,)&amp;" equity","LONG_COMP_NAME")</f>
        <v>#NAME?</v>
      </c>
      <c r="F25" s="194" t="s">
        <v>260</v>
      </c>
      <c r="G25" s="217" t="e">
        <f t="shared" ca="1" si="28"/>
        <v>#NAME?</v>
      </c>
      <c r="H25" s="218" t="e">
        <f t="shared" ca="1" si="29"/>
        <v>#NAME?</v>
      </c>
      <c r="I25" s="197" t="e">
        <f t="shared" ca="1" si="30"/>
        <v>#NAME?</v>
      </c>
      <c r="J25" s="197" t="e">
        <f t="shared" ca="1" si="30"/>
        <v>#NAME?</v>
      </c>
      <c r="K25" s="197" t="e">
        <f t="shared" ca="1" si="30"/>
        <v>#NAME?</v>
      </c>
      <c r="L25" s="197" t="e">
        <f t="shared" ca="1" si="30"/>
        <v>#NAME?</v>
      </c>
      <c r="M25" s="197" t="e">
        <f t="shared" ca="1" si="30"/>
        <v>#NAME?</v>
      </c>
      <c r="N25" s="197" t="e">
        <f t="shared" ca="1" si="30"/>
        <v>#NAME?</v>
      </c>
      <c r="O25" s="197" t="e">
        <f t="shared" ca="1" si="30"/>
        <v>#NAME?</v>
      </c>
      <c r="P25" s="197" t="e">
        <f t="shared" ca="1" si="30"/>
        <v>#NAME?</v>
      </c>
      <c r="Q25" s="197" t="e">
        <f t="shared" ca="1" si="30"/>
        <v>#NAME?</v>
      </c>
      <c r="R25" s="197" t="e">
        <f t="shared" ca="1" si="30"/>
        <v>#NAME?</v>
      </c>
      <c r="S25" s="198" t="e">
        <f t="shared" ref="S25:AB25" ca="1" si="42">$G25/BK25</f>
        <v>#NAME?</v>
      </c>
      <c r="T25" s="197" t="e">
        <f t="shared" ca="1" si="42"/>
        <v>#NAME?</v>
      </c>
      <c r="U25" s="197" t="e">
        <f t="shared" ca="1" si="42"/>
        <v>#NAME?</v>
      </c>
      <c r="V25" s="197" t="e">
        <f t="shared" ca="1" si="42"/>
        <v>#NAME?</v>
      </c>
      <c r="W25" s="197" t="e">
        <f t="shared" ca="1" si="42"/>
        <v>#NAME?</v>
      </c>
      <c r="X25" s="197" t="e">
        <f t="shared" ca="1" si="42"/>
        <v>#NAME?</v>
      </c>
      <c r="Y25" s="197" t="e">
        <f t="shared" ca="1" si="42"/>
        <v>#NAME?</v>
      </c>
      <c r="Z25" s="197" t="e">
        <f t="shared" ca="1" si="42"/>
        <v>#NAME?</v>
      </c>
      <c r="AA25" s="197" t="e">
        <f t="shared" ca="1" si="42"/>
        <v>#NAME?</v>
      </c>
      <c r="AB25" s="197" t="e">
        <f t="shared" ca="1" si="42"/>
        <v>#NAME?</v>
      </c>
      <c r="AC25" s="199" t="e">
        <f t="shared" ca="1" si="32"/>
        <v>#NAME?</v>
      </c>
      <c r="AD25" s="200" t="e">
        <f t="shared" ca="1" si="33"/>
        <v>#NAME?</v>
      </c>
      <c r="AE25" s="200" t="e">
        <f t="shared" ca="1" si="34"/>
        <v>#NAME?</v>
      </c>
      <c r="AF25" s="200" t="e">
        <f t="shared" ca="1" si="35"/>
        <v>#NAME?</v>
      </c>
      <c r="AG25" s="200" t="e">
        <f t="shared" ca="1" si="36"/>
        <v>#NAME?</v>
      </c>
      <c r="AH25" s="200" t="e">
        <f t="shared" ca="1" si="37"/>
        <v>#NAME?</v>
      </c>
      <c r="AI25" s="200" t="e">
        <f t="shared" ca="1" si="38"/>
        <v>#NAME?</v>
      </c>
      <c r="AJ25" s="200" t="e">
        <f t="shared" ca="1" si="38"/>
        <v>#NAME?</v>
      </c>
      <c r="AK25" s="200" t="e">
        <f t="shared" ca="1" si="38"/>
        <v>#NAME?</v>
      </c>
      <c r="AL25" s="200" t="e">
        <f t="shared" ca="1" si="38"/>
        <v>#NAME?</v>
      </c>
      <c r="AM25" s="175"/>
      <c r="AN25" s="148" t="e">
        <f t="shared" ca="1" si="39"/>
        <v>#NAME?</v>
      </c>
      <c r="AO25" s="136"/>
      <c r="AP25" s="187" t="s">
        <v>216</v>
      </c>
      <c r="AQ25" s="136" t="s">
        <v>217</v>
      </c>
      <c r="AR25" s="188" t="e">
        <f ca="1">IF(LEFT(_xll.BDP(TEXT(BloombergCode,)&amp;" equity",TEXT(BloombergItem,)),1)="#",AV25,_xll.BDP(TEXT(BloombergCode,)&amp;" equity",TEXT(BloombergItem,)))</f>
        <v>#NAME?</v>
      </c>
      <c r="AS25" s="138" t="e">
        <f ca="1">IF(LEFT(_xll.BDP(AR25&amp;" Curncy",TEXT(BloombergItem,)),1)="#",AW25,_xll.BDP(AR25&amp;" Curncy",TEXT(BloombergItem,)))</f>
        <v>#NAME?</v>
      </c>
      <c r="AT25" s="138" t="e">
        <f ca="1">VLOOKUP('Global Properties'!$AR25,#REF!,2,0)</f>
        <v>#NAME?</v>
      </c>
      <c r="AU25" s="189" t="e">
        <f ca="1">_xll.BDP(AR25&amp;" Curncy",TEXT(BloombergItem,))</f>
        <v>#NAME?</v>
      </c>
      <c r="AV25" s="190" t="e">
        <f ca="1">_xll.BDP(TEXT(BloombergCode,)&amp;" equity",TEXT(BloombergItem,))</f>
        <v>#NAME?</v>
      </c>
      <c r="AW25" s="189" t="e">
        <f ca="1">_xll.BDP(AV25&amp;" Curncy",TEXT(BloombergItem,))</f>
        <v>#NAME?</v>
      </c>
      <c r="AX25" s="138" t="e">
        <f ca="1">VLOOKUP('Global Properties'!$AV25,#REF!,2,0)</f>
        <v>#NAME?</v>
      </c>
      <c r="AY25" s="219" t="e">
        <f ca="1">_xll.BDP(TEXT(BloombergCode,)&amp;" equity",TEXT(BloombergItem,))</f>
        <v>#NAME?</v>
      </c>
      <c r="AZ25" s="219" t="e">
        <f ca="1">_xll.BDP(TEXT(BloombergCode,)&amp;" equity",TEXT(BloombergItem,))</f>
        <v>#NAME?</v>
      </c>
      <c r="BA25" s="220" t="e">
        <f ca="1">_xll.BDP(TEXT(BloombergCode,)&amp;" equity",TEXT(BloombergItem,))</f>
        <v>#NAME?</v>
      </c>
      <c r="BB25" s="220" t="e">
        <f ca="1">_xll.BDP(TEXT(BloombergCode,)&amp;" equity",TEXT(BloombergItem,))</f>
        <v>#NAME?</v>
      </c>
      <c r="BC25" s="220" t="e">
        <f ca="1">_xll.BDP(TEXT(BloombergCode,)&amp;" equity",TEXT(BloombergItem,))</f>
        <v>#NAME?</v>
      </c>
      <c r="BD25" s="190"/>
      <c r="BE25" s="139" t="str">
        <f t="shared" si="40"/>
        <v>LAND LN equity</v>
      </c>
      <c r="BF25" s="139"/>
      <c r="BH25" s="191"/>
      <c r="BI25" s="191" t="e">
        <f ca="1">_xll.BDP($BE25,BI$6,"BEST_FPERIOD_OVERRIDE",BI$5,"BEST_DATA_SOURCE_OVERRIDE","BST","BEST_CONSOLIDATED_OVERRIDE","C")</f>
        <v>#NAME?</v>
      </c>
      <c r="BJ25" s="191" t="e">
        <f ca="1">_xll.BDP($BE25,BJ$6,"BEST_FPERIOD_OVERRIDE",BJ$5,"BEST_DATA_SOURCE_OVERRIDE","BST","BEST_CONSOLIDATED_OVERRIDE","C")</f>
        <v>#NAME?</v>
      </c>
      <c r="BK25" s="191" t="e">
        <f ca="1">_xll.BDP($BE25,BK$6,"BEST_FPERIOD_OVERRIDE",BK$5,"BEST_DATA_SOURCE_OVERRIDE","BST","BEST_CONSOLIDATED_OVERRIDE","C")</f>
        <v>#NAME?</v>
      </c>
      <c r="BL25" s="191" t="e">
        <f ca="1">_xll.BDP($BE25,BL$6,"BEST_FPERIOD_OVERRIDE",BL$5,"BEST_DATA_SOURCE_OVERRIDE","BST","BEST_CONSOLIDATED_OVERRIDE","C")</f>
        <v>#NAME?</v>
      </c>
      <c r="BM25" s="191" t="e">
        <f ca="1">_xll.BDP($BE25,BM$6,"BEST_FPERIOD_OVERRIDE",BM$5,"BEST_DATA_SOURCE_OVERRIDE","BST","BEST_CONSOLIDATED_OVERRIDE","C")</f>
        <v>#NAME?</v>
      </c>
      <c r="BN25" s="191" t="e">
        <f ca="1">_xll.BDP($BE25,BN$6,"BEST_FPERIOD_OVERRIDE",BN$5,"BEST_DATA_SOURCE_OVERRIDE","BST","BEST_CONSOLIDATED_OVERRIDE","C")</f>
        <v>#NAME?</v>
      </c>
      <c r="BO25" s="191" t="e">
        <f ca="1">_xll.BDP($BE25,BO$6,"BEST_FPERIOD_OVERRIDE",BO$5,"BEST_DATA_SOURCE_OVERRIDE","BST","BEST_CONSOLIDATED_OVERRIDE","C")</f>
        <v>#NAME?</v>
      </c>
      <c r="BP25" s="191" t="e">
        <f ca="1">_xll.BDP($BE25,BP$6,"BEST_FPERIOD_OVERRIDE",BP$5,"BEST_DATA_SOURCE_OVERRIDE","BST","BEST_CONSOLIDATED_OVERRIDE","C")</f>
        <v>#NAME?</v>
      </c>
      <c r="BQ25" s="191" t="e">
        <f ca="1">_xll.BDP($BE25,BQ$6,"BEST_FPERIOD_OVERRIDE",BQ$5,"BEST_DATA_SOURCE_OVERRIDE","BST","BEST_CONSOLIDATED_OVERRIDE","C")</f>
        <v>#NAME?</v>
      </c>
      <c r="BR25" s="191" t="e">
        <f ca="1">_xll.BDP($BE25,BR$6,"BEST_FPERIOD_OVERRIDE",BR$5,"BEST_DATA_SOURCE_OVERRIDE","BST","BEST_CONSOLIDATED_OVERRIDE","C")</f>
        <v>#NAME?</v>
      </c>
      <c r="BS25" s="191" t="e">
        <f ca="1">_xll.BDP($BE25,BS$6,"BEST_FPERIOD_OVERRIDE",BS$5,"BEST_DATA_SOURCE_OVERRIDE","BST","BEST_CONSOLIDATED_OVERRIDE","C")</f>
        <v>#NAME?</v>
      </c>
      <c r="BT25" s="191" t="e">
        <f ca="1">_xll.BDP($BE25,BT$6,"BEST_FPERIOD_OVERRIDE",BT$5,"BEST_DATA_SOURCE_OVERRIDE","BST","BEST_CONSOLIDATED_OVERRIDE","C")</f>
        <v>#NAME?</v>
      </c>
      <c r="BV25" s="191" t="e">
        <f ca="1">_xll.BDP($BE25,BV$6,"BEST_FPERIOD_OVERRIDE",BV$5,"BEST_DATA_SOURCE_OVERRIDE","BST","BEST_CONSOLIDATED_OVERRIDE","C")</f>
        <v>#NAME?</v>
      </c>
      <c r="BW25" s="191" t="e">
        <f ca="1">_xll.BDP($BE25,BW$6,"BEST_FPERIOD_OVERRIDE",BW$5,"BEST_DATA_SOURCE_OVERRIDE","BST","BEST_CONSOLIDATED_OVERRIDE","C")</f>
        <v>#NAME?</v>
      </c>
      <c r="BX25" s="191" t="e">
        <f ca="1">_xll.BDP($BE25,BX$6,"BEST_FPERIOD_OVERRIDE",BX$5,"BEST_DATA_SOURCE_OVERRIDE","BST","BEST_CONSOLIDATED_OVERRIDE","C")</f>
        <v>#NAME?</v>
      </c>
      <c r="BY25" s="191" t="e">
        <f ca="1">_xll.BDP($BE25,BY$6,"BEST_FPERIOD_OVERRIDE",BY$5,"BEST_DATA_SOURCE_OVERRIDE","BST","BEST_CONSOLIDATED_OVERRIDE","C")</f>
        <v>#NAME?</v>
      </c>
      <c r="BZ25" s="191" t="e">
        <f ca="1">_xll.BDP($BE25,BZ$6,"BEST_FPERIOD_OVERRIDE",BZ$5,"BEST_DATA_SOURCE_OVERRIDE","BST","BEST_CONSOLIDATED_OVERRIDE","C")</f>
        <v>#NAME?</v>
      </c>
      <c r="CA25" s="191" t="e">
        <f ca="1">_xll.BDP($BE25,CA$6,"BEST_FPERIOD_OVERRIDE",CA$5,"BEST_DATA_SOURCE_OVERRIDE","BST","BEST_CONSOLIDATED_OVERRIDE","C")</f>
        <v>#NAME?</v>
      </c>
      <c r="CB25" s="191" t="e">
        <f ca="1">_xll.BDP($BE25,CB$6,"BEST_FPERIOD_OVERRIDE",CB$5,"BEST_DATA_SOURCE_OVERRIDE","BST","BEST_CONSOLIDATED_OVERRIDE","C")</f>
        <v>#NAME?</v>
      </c>
      <c r="CC25" s="191" t="e">
        <f ca="1">_xll.BDP($BE25,CC$6,"BEST_FPERIOD_OVERRIDE",CC$5,"BEST_DATA_SOURCE_OVERRIDE","BST","BEST_CONSOLIDATED_OVERRIDE","C")</f>
        <v>#NAME?</v>
      </c>
      <c r="CD25" s="191" t="e">
        <f ca="1">_xll.BDP($BE25,CD$6,"BEST_FPERIOD_OVERRIDE",CD$5,"BEST_DATA_SOURCE_OVERRIDE","BST","BEST_CONSOLIDATED_OVERRIDE","C")</f>
        <v>#NAME?</v>
      </c>
      <c r="CE25" s="191" t="e">
        <f ca="1">_xll.BDP($BE25,CE$6,"BEST_FPERIOD_OVERRIDE",CE$5,"BEST_DATA_SOURCE_OVERRIDE","BST","BEST_CONSOLIDATED_OVERRIDE","C")</f>
        <v>#NAME?</v>
      </c>
      <c r="CF25" s="191" t="e">
        <f ca="1">_xll.BDP($BE25,CF$6,"BEST_FPERIOD_OVERRIDE",CF$5,"BEST_DATA_SOURCE_OVERRIDE","BST","BEST_CONSOLIDATED_OVERRIDE","C")</f>
        <v>#NAME?</v>
      </c>
      <c r="CG25" s="191" t="e">
        <f ca="1">_xll.BDP($BE25,CG$6,"BEST_FPERIOD_OVERRIDE",CG$5,"BEST_DATA_SOURCE_OVERRIDE","BST","BEST_CONSOLIDATED_OVERRIDE","C")</f>
        <v>#NAME?</v>
      </c>
      <c r="CH25" s="191"/>
      <c r="CI25" s="192" t="e">
        <f ca="1">_xll.BDP($BE25,CI$6,"BEST_FPERIOD_OVERRIDE",CI$5,"BEST_DATA_SOURCE_OVERRIDE","BST","BEST_CONSOLIDATED_OVERRIDE","C")</f>
        <v>#NAME?</v>
      </c>
      <c r="CJ25" s="192" t="e">
        <f ca="1">_xll.BDP($BE25,CJ$6,"BEST_FPERIOD_OVERRIDE",CJ$5,"BEST_DATA_SOURCE_OVERRIDE","BST","BEST_CONSOLIDATED_OVERRIDE","C")</f>
        <v>#NAME?</v>
      </c>
      <c r="CK25" s="192" t="e">
        <f ca="1">_xll.BDP($BE25,CK$6,"BEST_FPERIOD_OVERRIDE",CK$5,"BEST_DATA_SOURCE_OVERRIDE","BST","BEST_CONSOLIDATED_OVERRIDE","C")</f>
        <v>#NAME?</v>
      </c>
      <c r="CL25" s="192" t="e">
        <f ca="1">_xll.BDP($BE25,CL$6,"BEST_FPERIOD_OVERRIDE",CL$5,"BEST_DATA_SOURCE_OVERRIDE","BST","BEST_CONSOLIDATED_OVERRIDE","C")</f>
        <v>#NAME?</v>
      </c>
      <c r="CM25" s="192" t="e">
        <f ca="1">_xll.BDP($BE25,CM$6,"BEST_FPERIOD_OVERRIDE",CM$5,"BEST_DATA_SOURCE_OVERRIDE","BST","BEST_CONSOLIDATED_OVERRIDE","C")</f>
        <v>#NAME?</v>
      </c>
      <c r="CN25" s="192" t="e">
        <f ca="1">_xll.BDP($BE25,CN$6,"BEST_FPERIOD_OVERRIDE",CN$5,"BEST_DATA_SOURCE_OVERRIDE","BST","BEST_CONSOLIDATED_OVERRIDE","C")</f>
        <v>#NAME?</v>
      </c>
      <c r="CO25" s="192" t="e">
        <f ca="1">_xll.BDP($BE25,CO$6,"BEST_FPERIOD_OVERRIDE",CO$5,"BEST_DATA_SOURCE_OVERRIDE","BST","BEST_CONSOLIDATED_OVERRIDE","C")</f>
        <v>#NAME?</v>
      </c>
      <c r="CP25" s="192" t="e">
        <f ca="1">_xll.BDP($BE25,CP$6,"BEST_FPERIOD_OVERRIDE",CP$5,"BEST_DATA_SOURCE_OVERRIDE","BST","BEST_CONSOLIDATED_OVERRIDE","C")</f>
        <v>#NAME?</v>
      </c>
      <c r="CQ25" s="192" t="e">
        <f ca="1">_xll.BDP($BE25,CQ$6,"BEST_FPERIOD_OVERRIDE",CQ$5,"BEST_DATA_SOURCE_OVERRIDE","BST","BEST_CONSOLIDATED_OVERRIDE","C")</f>
        <v>#NAME?</v>
      </c>
      <c r="CR25" s="192" t="e">
        <f ca="1">_xll.BDP($BE25,CR$6,"BEST_FPERIOD_OVERRIDE",CR$5,"BEST_DATA_SOURCE_OVERRIDE","BST","BEST_CONSOLIDATED_OVERRIDE","C")</f>
        <v>#NAME?</v>
      </c>
      <c r="CS25" s="192" t="e">
        <f ca="1">_xll.BDP($BE25,CS$6,"BEST_FPERIOD_OVERRIDE",CS$5,"BEST_DATA_SOURCE_OVERRIDE","BST","BEST_CONSOLIDATED_OVERRIDE","C")</f>
        <v>#NAME?</v>
      </c>
      <c r="CT25" s="192" t="e">
        <f ca="1">_xll.BDP($BE25,CT$6,"BEST_FPERIOD_OVERRIDE",CT$5,"BEST_DATA_SOURCE_OVERRIDE","BST","BEST_CONSOLIDATED_OVERRIDE","C")</f>
        <v>#NAME?</v>
      </c>
    </row>
    <row r="26" spans="1:98" s="178" customFormat="1" ht="16.5" outlineLevel="1">
      <c r="A26" s="177" t="e">
        <f t="shared" ca="1" si="27"/>
        <v>#NAME?</v>
      </c>
      <c r="B26" s="178" t="e">
        <f ca="1">_xll.BDP(TEXT($F26,)&amp;" equity",TEXT($B$7,))</f>
        <v>#NAME?</v>
      </c>
      <c r="C26" s="178" t="s">
        <v>214</v>
      </c>
      <c r="D26" s="178" t="e">
        <f ca="1">_xll.BDP(TEXT($B26,)&amp;" Curncy",TEXT($D$7,))</f>
        <v>#NAME?</v>
      </c>
      <c r="E26" s="241" t="e">
        <f ca="1">_xll.BDP(TEXT(BloombergCode,)&amp;" equity","LONG_COMP_NAME")</f>
        <v>#NAME?</v>
      </c>
      <c r="F26" s="242" t="s">
        <v>261</v>
      </c>
      <c r="G26" s="243" t="e">
        <f t="shared" ca="1" si="28"/>
        <v>#NAME?</v>
      </c>
      <c r="H26" s="244" t="e">
        <f t="shared" ca="1" si="29"/>
        <v>#NAME?</v>
      </c>
      <c r="I26" s="221" t="e">
        <f t="shared" ref="I26:R28" ca="1" si="43">BX26</f>
        <v>#NAME?</v>
      </c>
      <c r="J26" s="221" t="e">
        <f t="shared" ca="1" si="43"/>
        <v>#NAME?</v>
      </c>
      <c r="K26" s="221" t="e">
        <f t="shared" ca="1" si="43"/>
        <v>#NAME?</v>
      </c>
      <c r="L26" s="221" t="e">
        <f t="shared" ca="1" si="43"/>
        <v>#NAME?</v>
      </c>
      <c r="M26" s="221" t="e">
        <f t="shared" ca="1" si="43"/>
        <v>#NAME?</v>
      </c>
      <c r="N26" s="221" t="e">
        <f t="shared" ca="1" si="43"/>
        <v>#NAME?</v>
      </c>
      <c r="O26" s="221" t="e">
        <f t="shared" ca="1" si="43"/>
        <v>#NAME?</v>
      </c>
      <c r="P26" s="221" t="e">
        <f t="shared" ca="1" si="43"/>
        <v>#NAME?</v>
      </c>
      <c r="Q26" s="221" t="e">
        <f t="shared" ca="1" si="43"/>
        <v>#NAME?</v>
      </c>
      <c r="R26" s="221" t="e">
        <f t="shared" ca="1" si="43"/>
        <v>#NAME?</v>
      </c>
      <c r="S26" s="245" t="e">
        <f t="shared" ref="S26:AB26" ca="1" si="44">$G26/BK26/100</f>
        <v>#NAME?</v>
      </c>
      <c r="T26" s="221" t="e">
        <f t="shared" ca="1" si="44"/>
        <v>#NAME?</v>
      </c>
      <c r="U26" s="221" t="e">
        <f t="shared" ca="1" si="44"/>
        <v>#NAME?</v>
      </c>
      <c r="V26" s="221" t="e">
        <f t="shared" ca="1" si="44"/>
        <v>#NAME?</v>
      </c>
      <c r="W26" s="221" t="e">
        <f t="shared" ca="1" si="44"/>
        <v>#NAME?</v>
      </c>
      <c r="X26" s="221" t="e">
        <f t="shared" ca="1" si="44"/>
        <v>#NAME?</v>
      </c>
      <c r="Y26" s="221" t="e">
        <f t="shared" ca="1" si="44"/>
        <v>#NAME?</v>
      </c>
      <c r="Z26" s="221" t="e">
        <f t="shared" ca="1" si="44"/>
        <v>#NAME?</v>
      </c>
      <c r="AA26" s="221" t="e">
        <f t="shared" ca="1" si="44"/>
        <v>#NAME?</v>
      </c>
      <c r="AB26" s="221" t="e">
        <f t="shared" ca="1" si="44"/>
        <v>#NAME?</v>
      </c>
      <c r="AC26" s="246" t="e">
        <f t="shared" ca="1" si="32"/>
        <v>#NAME?</v>
      </c>
      <c r="AD26" s="247" t="e">
        <f t="shared" ca="1" si="33"/>
        <v>#NAME?</v>
      </c>
      <c r="AE26" s="247" t="e">
        <f t="shared" ca="1" si="34"/>
        <v>#NAME?</v>
      </c>
      <c r="AF26" s="247" t="e">
        <f t="shared" ca="1" si="35"/>
        <v>#NAME?</v>
      </c>
      <c r="AG26" s="247" t="e">
        <f t="shared" ca="1" si="36"/>
        <v>#NAME?</v>
      </c>
      <c r="AH26" s="247" t="e">
        <f t="shared" ca="1" si="37"/>
        <v>#NAME?</v>
      </c>
      <c r="AI26" s="247" t="e">
        <f t="shared" ca="1" si="38"/>
        <v>#NAME?</v>
      </c>
      <c r="AJ26" s="247" t="e">
        <f t="shared" ca="1" si="38"/>
        <v>#NAME?</v>
      </c>
      <c r="AK26" s="247" t="e">
        <f t="shared" ca="1" si="38"/>
        <v>#NAME?</v>
      </c>
      <c r="AL26" s="247" t="e">
        <f t="shared" ca="1" si="38"/>
        <v>#NAME?</v>
      </c>
      <c r="AM26" s="175"/>
      <c r="AN26" s="148" t="e">
        <f t="shared" ca="1" si="39"/>
        <v>#NAME?</v>
      </c>
      <c r="AO26" s="136"/>
      <c r="AP26" s="187" t="s">
        <v>216</v>
      </c>
      <c r="AQ26" s="136" t="s">
        <v>217</v>
      </c>
      <c r="AR26" s="188" t="e">
        <f ca="1">IF(LEFT(_xll.BDP(TEXT(BloombergCode,)&amp;" equity",TEXT(BloombergItem,)),1)="#",AV26,_xll.BDP(TEXT(BloombergCode,)&amp;" equity",TEXT(BloombergItem,)))</f>
        <v>#NAME?</v>
      </c>
      <c r="AS26" s="138" t="e">
        <f ca="1">IF(LEFT(_xll.BDP(AR26&amp;" Curncy",TEXT(BloombergItem,)),1)="#",AW26,_xll.BDP(AR26&amp;" Curncy",TEXT(BloombergItem,)))</f>
        <v>#NAME?</v>
      </c>
      <c r="AT26" s="138" t="e">
        <f ca="1">VLOOKUP('Global Properties'!$AR26,#REF!,2,0)</f>
        <v>#NAME?</v>
      </c>
      <c r="AU26" s="189" t="e">
        <f ca="1">_xll.BDP(AR26&amp;" Curncy",TEXT(BloombergItem,))</f>
        <v>#NAME?</v>
      </c>
      <c r="AV26" s="190" t="e">
        <f ca="1">_xll.BDP(TEXT(BloombergCode,)&amp;" equity",TEXT(BloombergItem,))</f>
        <v>#NAME?</v>
      </c>
      <c r="AW26" s="189" t="e">
        <f ca="1">_xll.BDP(AV26&amp;" Curncy",TEXT(BloombergItem,))</f>
        <v>#NAME?</v>
      </c>
      <c r="AX26" s="138" t="e">
        <f ca="1">VLOOKUP('Global Properties'!$AV26,#REF!,2,0)</f>
        <v>#NAME?</v>
      </c>
      <c r="AY26" s="219" t="e">
        <f ca="1">_xll.BDP(TEXT(BloombergCode,)&amp;" equity",TEXT(BloombergItem,))</f>
        <v>#NAME?</v>
      </c>
      <c r="AZ26" s="219" t="e">
        <f ca="1">_xll.BDP(TEXT(BloombergCode,)&amp;" equity",TEXT(BloombergItem,))</f>
        <v>#NAME?</v>
      </c>
      <c r="BA26" s="220" t="e">
        <f ca="1">_xll.BDP(TEXT(BloombergCode,)&amp;" equity",TEXT(BloombergItem,))</f>
        <v>#NAME?</v>
      </c>
      <c r="BB26" s="220" t="e">
        <f ca="1">_xll.BDP(TEXT(BloombergCode,)&amp;" equity",TEXT(BloombergItem,))</f>
        <v>#NAME?</v>
      </c>
      <c r="BC26" s="220" t="e">
        <f ca="1">_xll.BDP(TEXT(BloombergCode,)&amp;" equity",TEXT(BloombergItem,))</f>
        <v>#NAME?</v>
      </c>
      <c r="BD26" s="190"/>
      <c r="BE26" s="139" t="str">
        <f t="shared" si="40"/>
        <v>BLND LN equity</v>
      </c>
      <c r="BF26" s="139"/>
      <c r="BH26" s="191"/>
      <c r="BI26" s="191" t="e">
        <f ca="1">_xll.BDP($BE26,BI$6,"BEST_FPERIOD_OVERRIDE",BI$5,"BEST_DATA_SOURCE_OVERRIDE","BST","BEST_CONSOLIDATED_OVERRIDE","C")</f>
        <v>#NAME?</v>
      </c>
      <c r="BJ26" s="191" t="e">
        <f ca="1">_xll.BDP($BE26,BJ$6,"BEST_FPERIOD_OVERRIDE",BJ$5,"BEST_DATA_SOURCE_OVERRIDE","BST","BEST_CONSOLIDATED_OVERRIDE","C")</f>
        <v>#NAME?</v>
      </c>
      <c r="BK26" s="191" t="e">
        <f ca="1">_xll.BDP($BE26,BK$6,"BEST_FPERIOD_OVERRIDE",BK$5,"BEST_DATA_SOURCE_OVERRIDE","BST","BEST_CONSOLIDATED_OVERRIDE","C")</f>
        <v>#NAME?</v>
      </c>
      <c r="BL26" s="191" t="e">
        <f ca="1">_xll.BDP($BE26,BL$6,"BEST_FPERIOD_OVERRIDE",BL$5,"BEST_DATA_SOURCE_OVERRIDE","BST","BEST_CONSOLIDATED_OVERRIDE","C")</f>
        <v>#NAME?</v>
      </c>
      <c r="BM26" s="191" t="e">
        <f ca="1">_xll.BDP($BE26,BM$6,"BEST_FPERIOD_OVERRIDE",BM$5,"BEST_DATA_SOURCE_OVERRIDE","BST","BEST_CONSOLIDATED_OVERRIDE","C")</f>
        <v>#NAME?</v>
      </c>
      <c r="BN26" s="191" t="e">
        <f ca="1">_xll.BDP($BE26,BN$6,"BEST_FPERIOD_OVERRIDE",BN$5,"BEST_DATA_SOURCE_OVERRIDE","BST","BEST_CONSOLIDATED_OVERRIDE","C")</f>
        <v>#NAME?</v>
      </c>
      <c r="BO26" s="191" t="e">
        <f ca="1">_xll.BDP($BE26,BO$6,"BEST_FPERIOD_OVERRIDE",BO$5,"BEST_DATA_SOURCE_OVERRIDE","BST","BEST_CONSOLIDATED_OVERRIDE","C")</f>
        <v>#NAME?</v>
      </c>
      <c r="BP26" s="191" t="e">
        <f ca="1">_xll.BDP($BE26,BP$6,"BEST_FPERIOD_OVERRIDE",BP$5,"BEST_DATA_SOURCE_OVERRIDE","BST","BEST_CONSOLIDATED_OVERRIDE","C")</f>
        <v>#NAME?</v>
      </c>
      <c r="BQ26" s="191" t="e">
        <f ca="1">_xll.BDP($BE26,BQ$6,"BEST_FPERIOD_OVERRIDE",BQ$5,"BEST_DATA_SOURCE_OVERRIDE","BST","BEST_CONSOLIDATED_OVERRIDE","C")</f>
        <v>#NAME?</v>
      </c>
      <c r="BR26" s="191" t="e">
        <f ca="1">_xll.BDP($BE26,BR$6,"BEST_FPERIOD_OVERRIDE",BR$5,"BEST_DATA_SOURCE_OVERRIDE","BST","BEST_CONSOLIDATED_OVERRIDE","C")</f>
        <v>#NAME?</v>
      </c>
      <c r="BS26" s="191" t="e">
        <f ca="1">_xll.BDP($BE26,BS$6,"BEST_FPERIOD_OVERRIDE",BS$5,"BEST_DATA_SOURCE_OVERRIDE","BST","BEST_CONSOLIDATED_OVERRIDE","C")</f>
        <v>#NAME?</v>
      </c>
      <c r="BT26" s="191" t="e">
        <f ca="1">_xll.BDP($BE26,BT$6,"BEST_FPERIOD_OVERRIDE",BT$5,"BEST_DATA_SOURCE_OVERRIDE","BST","BEST_CONSOLIDATED_OVERRIDE","C")</f>
        <v>#NAME?</v>
      </c>
      <c r="BV26" s="191" t="e">
        <f ca="1">_xll.BDP($BE26,BV$6,"BEST_FPERIOD_OVERRIDE",BV$5,"BEST_DATA_SOURCE_OVERRIDE","BST","BEST_CONSOLIDATED_OVERRIDE","C")</f>
        <v>#NAME?</v>
      </c>
      <c r="BW26" s="191" t="e">
        <f ca="1">_xll.BDP($BE26,BW$6,"BEST_FPERIOD_OVERRIDE",BW$5,"BEST_DATA_SOURCE_OVERRIDE","BST","BEST_CONSOLIDATED_OVERRIDE","C")</f>
        <v>#NAME?</v>
      </c>
      <c r="BX26" s="191" t="e">
        <f ca="1">_xll.BDP($BE26,BX$6,"BEST_FPERIOD_OVERRIDE",BX$5,"BEST_DATA_SOURCE_OVERRIDE","BST","BEST_CONSOLIDATED_OVERRIDE","C")</f>
        <v>#NAME?</v>
      </c>
      <c r="BY26" s="191" t="e">
        <f ca="1">_xll.BDP($BE26,BY$6,"BEST_FPERIOD_OVERRIDE",BY$5,"BEST_DATA_SOURCE_OVERRIDE","BST","BEST_CONSOLIDATED_OVERRIDE","C")</f>
        <v>#NAME?</v>
      </c>
      <c r="BZ26" s="191" t="e">
        <f ca="1">_xll.BDP($BE26,BZ$6,"BEST_FPERIOD_OVERRIDE",BZ$5,"BEST_DATA_SOURCE_OVERRIDE","BST","BEST_CONSOLIDATED_OVERRIDE","C")</f>
        <v>#NAME?</v>
      </c>
      <c r="CA26" s="191" t="e">
        <f ca="1">_xll.BDP($BE26,CA$6,"BEST_FPERIOD_OVERRIDE",CA$5,"BEST_DATA_SOURCE_OVERRIDE","BST","BEST_CONSOLIDATED_OVERRIDE","C")</f>
        <v>#NAME?</v>
      </c>
      <c r="CB26" s="191" t="e">
        <f ca="1">_xll.BDP($BE26,CB$6,"BEST_FPERIOD_OVERRIDE",CB$5,"BEST_DATA_SOURCE_OVERRIDE","BST","BEST_CONSOLIDATED_OVERRIDE","C")</f>
        <v>#NAME?</v>
      </c>
      <c r="CC26" s="191" t="e">
        <f ca="1">_xll.BDP($BE26,CC$6,"BEST_FPERIOD_OVERRIDE",CC$5,"BEST_DATA_SOURCE_OVERRIDE","BST","BEST_CONSOLIDATED_OVERRIDE","C")</f>
        <v>#NAME?</v>
      </c>
      <c r="CD26" s="191" t="e">
        <f ca="1">_xll.BDP($BE26,CD$6,"BEST_FPERIOD_OVERRIDE",CD$5,"BEST_DATA_SOURCE_OVERRIDE","BST","BEST_CONSOLIDATED_OVERRIDE","C")</f>
        <v>#NAME?</v>
      </c>
      <c r="CE26" s="191" t="e">
        <f ca="1">_xll.BDP($BE26,CE$6,"BEST_FPERIOD_OVERRIDE",CE$5,"BEST_DATA_SOURCE_OVERRIDE","BST","BEST_CONSOLIDATED_OVERRIDE","C")</f>
        <v>#NAME?</v>
      </c>
      <c r="CF26" s="191" t="e">
        <f ca="1">_xll.BDP($BE26,CF$6,"BEST_FPERIOD_OVERRIDE",CF$5,"BEST_DATA_SOURCE_OVERRIDE","BST","BEST_CONSOLIDATED_OVERRIDE","C")</f>
        <v>#NAME?</v>
      </c>
      <c r="CG26" s="191" t="e">
        <f ca="1">_xll.BDP($BE26,CG$6,"BEST_FPERIOD_OVERRIDE",CG$5,"BEST_DATA_SOURCE_OVERRIDE","BST","BEST_CONSOLIDATED_OVERRIDE","C")</f>
        <v>#NAME?</v>
      </c>
      <c r="CH26" s="191"/>
      <c r="CI26" s="192" t="e">
        <f ca="1">_xll.BDP($BE26,CI$6,"BEST_FPERIOD_OVERRIDE",CI$5,"BEST_DATA_SOURCE_OVERRIDE","BST","BEST_CONSOLIDATED_OVERRIDE","C")</f>
        <v>#NAME?</v>
      </c>
      <c r="CJ26" s="192" t="e">
        <f ca="1">_xll.BDP($BE26,CJ$6,"BEST_FPERIOD_OVERRIDE",CJ$5,"BEST_DATA_SOURCE_OVERRIDE","BST","BEST_CONSOLIDATED_OVERRIDE","C")</f>
        <v>#NAME?</v>
      </c>
      <c r="CK26" s="192" t="e">
        <f ca="1">_xll.BDP($BE26,CK$6,"BEST_FPERIOD_OVERRIDE",CK$5,"BEST_DATA_SOURCE_OVERRIDE","BST","BEST_CONSOLIDATED_OVERRIDE","C")</f>
        <v>#NAME?</v>
      </c>
      <c r="CL26" s="192" t="e">
        <f ca="1">_xll.BDP($BE26,CL$6,"BEST_FPERIOD_OVERRIDE",CL$5,"BEST_DATA_SOURCE_OVERRIDE","BST","BEST_CONSOLIDATED_OVERRIDE","C")</f>
        <v>#NAME?</v>
      </c>
      <c r="CM26" s="192" t="e">
        <f ca="1">_xll.BDP($BE26,CM$6,"BEST_FPERIOD_OVERRIDE",CM$5,"BEST_DATA_SOURCE_OVERRIDE","BST","BEST_CONSOLIDATED_OVERRIDE","C")</f>
        <v>#NAME?</v>
      </c>
      <c r="CN26" s="192" t="e">
        <f ca="1">_xll.BDP($BE26,CN$6,"BEST_FPERIOD_OVERRIDE",CN$5,"BEST_DATA_SOURCE_OVERRIDE","BST","BEST_CONSOLIDATED_OVERRIDE","C")</f>
        <v>#NAME?</v>
      </c>
      <c r="CO26" s="192" t="e">
        <f ca="1">_xll.BDP($BE26,CO$6,"BEST_FPERIOD_OVERRIDE",CO$5,"BEST_DATA_SOURCE_OVERRIDE","BST","BEST_CONSOLIDATED_OVERRIDE","C")</f>
        <v>#NAME?</v>
      </c>
      <c r="CP26" s="192" t="e">
        <f ca="1">_xll.BDP($BE26,CP$6,"BEST_FPERIOD_OVERRIDE",CP$5,"BEST_DATA_SOURCE_OVERRIDE","BST","BEST_CONSOLIDATED_OVERRIDE","C")</f>
        <v>#NAME?</v>
      </c>
      <c r="CQ26" s="192" t="e">
        <f ca="1">_xll.BDP($BE26,CQ$6,"BEST_FPERIOD_OVERRIDE",CQ$5,"BEST_DATA_SOURCE_OVERRIDE","BST","BEST_CONSOLIDATED_OVERRIDE","C")</f>
        <v>#NAME?</v>
      </c>
      <c r="CR26" s="192" t="e">
        <f ca="1">_xll.BDP($BE26,CR$6,"BEST_FPERIOD_OVERRIDE",CR$5,"BEST_DATA_SOURCE_OVERRIDE","BST","BEST_CONSOLIDATED_OVERRIDE","C")</f>
        <v>#NAME?</v>
      </c>
      <c r="CS26" s="192" t="e">
        <f ca="1">_xll.BDP($BE26,CS$6,"BEST_FPERIOD_OVERRIDE",CS$5,"BEST_DATA_SOURCE_OVERRIDE","BST","BEST_CONSOLIDATED_OVERRIDE","C")</f>
        <v>#NAME?</v>
      </c>
      <c r="CT26" s="192" t="e">
        <f ca="1">_xll.BDP($BE26,CT$6,"BEST_FPERIOD_OVERRIDE",CT$5,"BEST_DATA_SOURCE_OVERRIDE","BST","BEST_CONSOLIDATED_OVERRIDE","C")</f>
        <v>#NAME?</v>
      </c>
    </row>
    <row r="27" spans="1:98" s="178" customFormat="1" ht="16.5" outlineLevel="1">
      <c r="A27" s="177" t="e">
        <f t="shared" ca="1" si="27"/>
        <v>#NAME?</v>
      </c>
      <c r="B27" s="178" t="e">
        <f ca="1">_xll.BDP(TEXT($F27,)&amp;" equity",TEXT($B$7,))</f>
        <v>#NAME?</v>
      </c>
      <c r="C27" s="178" t="s">
        <v>214</v>
      </c>
      <c r="D27" s="178" t="e">
        <f ca="1">_xll.BDP(TEXT($B27,)&amp;" Curncy",TEXT($D$7,))</f>
        <v>#NAME?</v>
      </c>
      <c r="E27" s="193" t="e">
        <f ca="1">_xll.BDP(TEXT(BloombergCode,)&amp;" equity","LONG_COMP_NAME")</f>
        <v>#NAME?</v>
      </c>
      <c r="F27" s="194" t="s">
        <v>258</v>
      </c>
      <c r="G27" s="217" t="e">
        <f t="shared" ca="1" si="28"/>
        <v>#NAME?</v>
      </c>
      <c r="H27" s="218" t="e">
        <f t="shared" ca="1" si="29"/>
        <v>#NAME?</v>
      </c>
      <c r="I27" s="197" t="e">
        <f t="shared" ca="1" si="43"/>
        <v>#NAME?</v>
      </c>
      <c r="J27" s="197" t="e">
        <f t="shared" ca="1" si="43"/>
        <v>#NAME?</v>
      </c>
      <c r="K27" s="197" t="e">
        <f t="shared" ca="1" si="43"/>
        <v>#NAME?</v>
      </c>
      <c r="L27" s="197" t="e">
        <f t="shared" ca="1" si="43"/>
        <v>#NAME?</v>
      </c>
      <c r="M27" s="197" t="e">
        <f t="shared" ca="1" si="43"/>
        <v>#NAME?</v>
      </c>
      <c r="N27" s="197" t="e">
        <f t="shared" ca="1" si="43"/>
        <v>#NAME?</v>
      </c>
      <c r="O27" s="197" t="e">
        <f t="shared" ca="1" si="43"/>
        <v>#NAME?</v>
      </c>
      <c r="P27" s="197" t="e">
        <f t="shared" ca="1" si="43"/>
        <v>#NAME?</v>
      </c>
      <c r="Q27" s="197" t="e">
        <f t="shared" ca="1" si="43"/>
        <v>#NAME?</v>
      </c>
      <c r="R27" s="197" t="e">
        <f t="shared" ca="1" si="43"/>
        <v>#NAME?</v>
      </c>
      <c r="S27" s="198" t="e">
        <f t="shared" ref="S27:AB27" ca="1" si="45">$G27/BK27</f>
        <v>#NAME?</v>
      </c>
      <c r="T27" s="197" t="e">
        <f t="shared" ca="1" si="45"/>
        <v>#NAME?</v>
      </c>
      <c r="U27" s="197" t="e">
        <f t="shared" ca="1" si="45"/>
        <v>#NAME?</v>
      </c>
      <c r="V27" s="197" t="e">
        <f t="shared" ca="1" si="45"/>
        <v>#NAME?</v>
      </c>
      <c r="W27" s="197" t="e">
        <f t="shared" ca="1" si="45"/>
        <v>#NAME?</v>
      </c>
      <c r="X27" s="197" t="e">
        <f t="shared" ca="1" si="45"/>
        <v>#NAME?</v>
      </c>
      <c r="Y27" s="197" t="e">
        <f t="shared" ca="1" si="45"/>
        <v>#NAME?</v>
      </c>
      <c r="Z27" s="197" t="e">
        <f t="shared" ca="1" si="45"/>
        <v>#NAME?</v>
      </c>
      <c r="AA27" s="197" t="e">
        <f t="shared" ca="1" si="45"/>
        <v>#NAME?</v>
      </c>
      <c r="AB27" s="197" t="e">
        <f t="shared" ca="1" si="45"/>
        <v>#NAME?</v>
      </c>
      <c r="AC27" s="199" t="e">
        <f t="shared" ca="1" si="32"/>
        <v>#NAME?</v>
      </c>
      <c r="AD27" s="200" t="e">
        <f t="shared" ca="1" si="33"/>
        <v>#NAME?</v>
      </c>
      <c r="AE27" s="200" t="e">
        <f t="shared" ca="1" si="34"/>
        <v>#NAME?</v>
      </c>
      <c r="AF27" s="200" t="e">
        <f t="shared" ca="1" si="35"/>
        <v>#NAME?</v>
      </c>
      <c r="AG27" s="200" t="e">
        <f t="shared" ca="1" si="36"/>
        <v>#NAME?</v>
      </c>
      <c r="AH27" s="200" t="e">
        <f t="shared" ca="1" si="37"/>
        <v>#NAME?</v>
      </c>
      <c r="AI27" s="200" t="e">
        <f t="shared" ca="1" si="38"/>
        <v>#NAME?</v>
      </c>
      <c r="AJ27" s="200" t="e">
        <f t="shared" ca="1" si="38"/>
        <v>#NAME?</v>
      </c>
      <c r="AK27" s="200" t="e">
        <f t="shared" ca="1" si="38"/>
        <v>#NAME?</v>
      </c>
      <c r="AL27" s="200" t="e">
        <f t="shared" ca="1" si="38"/>
        <v>#NAME?</v>
      </c>
      <c r="AM27" s="175"/>
      <c r="AN27" s="148" t="e">
        <f t="shared" ca="1" si="39"/>
        <v>#NAME?</v>
      </c>
      <c r="AO27" s="136"/>
      <c r="AP27" s="187" t="s">
        <v>216</v>
      </c>
      <c r="AQ27" s="136" t="s">
        <v>217</v>
      </c>
      <c r="AR27" s="188" t="e">
        <f ca="1">IF(LEFT(_xll.BDP(TEXT(BloombergCode,)&amp;" equity",TEXT(BloombergItem,)),1)="#",AV27,_xll.BDP(TEXT(BloombergCode,)&amp;" equity",TEXT(BloombergItem,)))</f>
        <v>#NAME?</v>
      </c>
      <c r="AS27" s="138" t="e">
        <f ca="1">IF(LEFT(_xll.BDP(AR27&amp;" Curncy",TEXT(BloombergItem,)),1)="#",AW27,_xll.BDP(AR27&amp;" Curncy",TEXT(BloombergItem,)))</f>
        <v>#NAME?</v>
      </c>
      <c r="AT27" s="138" t="e">
        <f ca="1">VLOOKUP('Global Properties'!$AR27,#REF!,2,0)</f>
        <v>#NAME?</v>
      </c>
      <c r="AU27" s="189" t="e">
        <f ca="1">_xll.BDP(AR27&amp;" Curncy",TEXT(BloombergItem,))</f>
        <v>#NAME?</v>
      </c>
      <c r="AV27" s="190" t="e">
        <f ca="1">_xll.BDP(TEXT(BloombergCode,)&amp;" equity",TEXT(BloombergItem,))</f>
        <v>#NAME?</v>
      </c>
      <c r="AW27" s="189" t="e">
        <f ca="1">_xll.BDP(AV27&amp;" Curncy",TEXT(BloombergItem,))</f>
        <v>#NAME?</v>
      </c>
      <c r="AX27" s="138" t="e">
        <f ca="1">VLOOKUP('Global Properties'!$AV27,#REF!,2,0)</f>
        <v>#NAME?</v>
      </c>
      <c r="AY27" s="219" t="e">
        <f ca="1">_xll.BDP(TEXT(BloombergCode,)&amp;" equity",TEXT(BloombergItem,))</f>
        <v>#NAME?</v>
      </c>
      <c r="AZ27" s="219" t="e">
        <f ca="1">_xll.BDP(TEXT(BloombergCode,)&amp;" equity",TEXT(BloombergItem,))</f>
        <v>#NAME?</v>
      </c>
      <c r="BA27" s="220" t="e">
        <f ca="1">_xll.BDP(TEXT(BloombergCode,)&amp;" equity",TEXT(BloombergItem,))</f>
        <v>#NAME?</v>
      </c>
      <c r="BB27" s="220" t="e">
        <f ca="1">_xll.BDP(TEXT(BloombergCode,)&amp;" equity",TEXT(BloombergItem,))</f>
        <v>#NAME?</v>
      </c>
      <c r="BC27" s="220" t="e">
        <f ca="1">_xll.BDP(TEXT(BloombergCode,)&amp;" equity",TEXT(BloombergItem,))</f>
        <v>#NAME?</v>
      </c>
      <c r="BD27" s="190"/>
      <c r="BE27" s="139" t="str">
        <f t="shared" si="40"/>
        <v>INTU LN equity</v>
      </c>
      <c r="BF27" s="139"/>
      <c r="BH27" s="191"/>
      <c r="BI27" s="191" t="e">
        <f ca="1">_xll.BDP($BE27,BI$6,"BEST_FPERIOD_OVERRIDE",BI$5,"BEST_DATA_SOURCE_OVERRIDE","BST","BEST_CONSOLIDATED_OVERRIDE","C")</f>
        <v>#NAME?</v>
      </c>
      <c r="BJ27" s="191" t="e">
        <f ca="1">_xll.BDP($BE27,BJ$6,"BEST_FPERIOD_OVERRIDE",BJ$5,"BEST_DATA_SOURCE_OVERRIDE","BST","BEST_CONSOLIDATED_OVERRIDE","C")</f>
        <v>#NAME?</v>
      </c>
      <c r="BK27" s="191" t="e">
        <f ca="1">_xll.BDP($BE27,BK$6,"BEST_FPERIOD_OVERRIDE",BK$5,"BEST_DATA_SOURCE_OVERRIDE","BST","BEST_CONSOLIDATED_OVERRIDE","C")</f>
        <v>#NAME?</v>
      </c>
      <c r="BL27" s="191" t="e">
        <f ca="1">_xll.BDP($BE27,BL$6,"BEST_FPERIOD_OVERRIDE",BL$5,"BEST_DATA_SOURCE_OVERRIDE","BST","BEST_CONSOLIDATED_OVERRIDE","C")</f>
        <v>#NAME?</v>
      </c>
      <c r="BM27" s="191" t="e">
        <f ca="1">_xll.BDP($BE27,BM$6,"BEST_FPERIOD_OVERRIDE",BM$5,"BEST_DATA_SOURCE_OVERRIDE","BST","BEST_CONSOLIDATED_OVERRIDE","C")</f>
        <v>#NAME?</v>
      </c>
      <c r="BN27" s="191" t="e">
        <f ca="1">_xll.BDP($BE27,BN$6,"BEST_FPERIOD_OVERRIDE",BN$5,"BEST_DATA_SOURCE_OVERRIDE","BST","BEST_CONSOLIDATED_OVERRIDE","C")</f>
        <v>#NAME?</v>
      </c>
      <c r="BO27" s="191" t="e">
        <f ca="1">_xll.BDP($BE27,BO$6,"BEST_FPERIOD_OVERRIDE",BO$5,"BEST_DATA_SOURCE_OVERRIDE","BST","BEST_CONSOLIDATED_OVERRIDE","C")</f>
        <v>#NAME?</v>
      </c>
      <c r="BP27" s="191" t="e">
        <f ca="1">_xll.BDP($BE27,BP$6,"BEST_FPERIOD_OVERRIDE",BP$5,"BEST_DATA_SOURCE_OVERRIDE","BST","BEST_CONSOLIDATED_OVERRIDE","C")</f>
        <v>#NAME?</v>
      </c>
      <c r="BQ27" s="191" t="e">
        <f ca="1">_xll.BDP($BE27,BQ$6,"BEST_FPERIOD_OVERRIDE",BQ$5,"BEST_DATA_SOURCE_OVERRIDE","BST","BEST_CONSOLIDATED_OVERRIDE","C")</f>
        <v>#NAME?</v>
      </c>
      <c r="BR27" s="191" t="e">
        <f ca="1">_xll.BDP($BE27,BR$6,"BEST_FPERIOD_OVERRIDE",BR$5,"BEST_DATA_SOURCE_OVERRIDE","BST","BEST_CONSOLIDATED_OVERRIDE","C")</f>
        <v>#NAME?</v>
      </c>
      <c r="BS27" s="191" t="e">
        <f ca="1">_xll.BDP($BE27,BS$6,"BEST_FPERIOD_OVERRIDE",BS$5,"BEST_DATA_SOURCE_OVERRIDE","BST","BEST_CONSOLIDATED_OVERRIDE","C")</f>
        <v>#NAME?</v>
      </c>
      <c r="BT27" s="191" t="e">
        <f ca="1">_xll.BDP($BE27,BT$6,"BEST_FPERIOD_OVERRIDE",BT$5,"BEST_DATA_SOURCE_OVERRIDE","BST","BEST_CONSOLIDATED_OVERRIDE","C")</f>
        <v>#NAME?</v>
      </c>
      <c r="BV27" s="191" t="e">
        <f ca="1">_xll.BDP($BE27,BV$6,"BEST_FPERIOD_OVERRIDE",BV$5,"BEST_DATA_SOURCE_OVERRIDE","BST","BEST_CONSOLIDATED_OVERRIDE","C")</f>
        <v>#NAME?</v>
      </c>
      <c r="BW27" s="191" t="e">
        <f ca="1">_xll.BDP($BE27,BW$6,"BEST_FPERIOD_OVERRIDE",BW$5,"BEST_DATA_SOURCE_OVERRIDE","BST","BEST_CONSOLIDATED_OVERRIDE","C")</f>
        <v>#NAME?</v>
      </c>
      <c r="BX27" s="191" t="e">
        <f ca="1">_xll.BDP($BE27,BX$6,"BEST_FPERIOD_OVERRIDE",BX$5,"BEST_DATA_SOURCE_OVERRIDE","BST","BEST_CONSOLIDATED_OVERRIDE","C")</f>
        <v>#NAME?</v>
      </c>
      <c r="BY27" s="191" t="e">
        <f ca="1">_xll.BDP($BE27,BY$6,"BEST_FPERIOD_OVERRIDE",BY$5,"BEST_DATA_SOURCE_OVERRIDE","BST","BEST_CONSOLIDATED_OVERRIDE","C")</f>
        <v>#NAME?</v>
      </c>
      <c r="BZ27" s="191" t="e">
        <f ca="1">_xll.BDP($BE27,BZ$6,"BEST_FPERIOD_OVERRIDE",BZ$5,"BEST_DATA_SOURCE_OVERRIDE","BST","BEST_CONSOLIDATED_OVERRIDE","C")</f>
        <v>#NAME?</v>
      </c>
      <c r="CA27" s="191" t="e">
        <f ca="1">_xll.BDP($BE27,CA$6,"BEST_FPERIOD_OVERRIDE",CA$5,"BEST_DATA_SOURCE_OVERRIDE","BST","BEST_CONSOLIDATED_OVERRIDE","C")</f>
        <v>#NAME?</v>
      </c>
      <c r="CB27" s="191" t="e">
        <f ca="1">_xll.BDP($BE27,CB$6,"BEST_FPERIOD_OVERRIDE",CB$5,"BEST_DATA_SOURCE_OVERRIDE","BST","BEST_CONSOLIDATED_OVERRIDE","C")</f>
        <v>#NAME?</v>
      </c>
      <c r="CC27" s="191" t="e">
        <f ca="1">_xll.BDP($BE27,CC$6,"BEST_FPERIOD_OVERRIDE",CC$5,"BEST_DATA_SOURCE_OVERRIDE","BST","BEST_CONSOLIDATED_OVERRIDE","C")</f>
        <v>#NAME?</v>
      </c>
      <c r="CD27" s="191" t="e">
        <f ca="1">_xll.BDP($BE27,CD$6,"BEST_FPERIOD_OVERRIDE",CD$5,"BEST_DATA_SOURCE_OVERRIDE","BST","BEST_CONSOLIDATED_OVERRIDE","C")</f>
        <v>#NAME?</v>
      </c>
      <c r="CE27" s="191" t="e">
        <f ca="1">_xll.BDP($BE27,CE$6,"BEST_FPERIOD_OVERRIDE",CE$5,"BEST_DATA_SOURCE_OVERRIDE","BST","BEST_CONSOLIDATED_OVERRIDE","C")</f>
        <v>#NAME?</v>
      </c>
      <c r="CF27" s="191" t="e">
        <f ca="1">_xll.BDP($BE27,CF$6,"BEST_FPERIOD_OVERRIDE",CF$5,"BEST_DATA_SOURCE_OVERRIDE","BST","BEST_CONSOLIDATED_OVERRIDE","C")</f>
        <v>#NAME?</v>
      </c>
      <c r="CG27" s="191" t="e">
        <f ca="1">_xll.BDP($BE27,CG$6,"BEST_FPERIOD_OVERRIDE",CG$5,"BEST_DATA_SOURCE_OVERRIDE","BST","BEST_CONSOLIDATED_OVERRIDE","C")</f>
        <v>#NAME?</v>
      </c>
      <c r="CH27" s="191"/>
      <c r="CI27" s="192" t="e">
        <f ca="1">_xll.BDP($BE27,CI$6,"BEST_FPERIOD_OVERRIDE",CI$5,"BEST_DATA_SOURCE_OVERRIDE","BST","BEST_CONSOLIDATED_OVERRIDE","C")</f>
        <v>#NAME?</v>
      </c>
      <c r="CJ27" s="192" t="e">
        <f ca="1">_xll.BDP($BE27,CJ$6,"BEST_FPERIOD_OVERRIDE",CJ$5,"BEST_DATA_SOURCE_OVERRIDE","BST","BEST_CONSOLIDATED_OVERRIDE","C")</f>
        <v>#NAME?</v>
      </c>
      <c r="CK27" s="192" t="e">
        <f ca="1">_xll.BDP($BE27,CK$6,"BEST_FPERIOD_OVERRIDE",CK$5,"BEST_DATA_SOURCE_OVERRIDE","BST","BEST_CONSOLIDATED_OVERRIDE","C")</f>
        <v>#NAME?</v>
      </c>
      <c r="CL27" s="192" t="e">
        <f ca="1">_xll.BDP($BE27,CL$6,"BEST_FPERIOD_OVERRIDE",CL$5,"BEST_DATA_SOURCE_OVERRIDE","BST","BEST_CONSOLIDATED_OVERRIDE","C")</f>
        <v>#NAME?</v>
      </c>
      <c r="CM27" s="192" t="e">
        <f ca="1">_xll.BDP($BE27,CM$6,"BEST_FPERIOD_OVERRIDE",CM$5,"BEST_DATA_SOURCE_OVERRIDE","BST","BEST_CONSOLIDATED_OVERRIDE","C")</f>
        <v>#NAME?</v>
      </c>
      <c r="CN27" s="192" t="e">
        <f ca="1">_xll.BDP($BE27,CN$6,"BEST_FPERIOD_OVERRIDE",CN$5,"BEST_DATA_SOURCE_OVERRIDE","BST","BEST_CONSOLIDATED_OVERRIDE","C")</f>
        <v>#NAME?</v>
      </c>
      <c r="CO27" s="192" t="e">
        <f ca="1">_xll.BDP($BE27,CO$6,"BEST_FPERIOD_OVERRIDE",CO$5,"BEST_DATA_SOURCE_OVERRIDE","BST","BEST_CONSOLIDATED_OVERRIDE","C")</f>
        <v>#NAME?</v>
      </c>
      <c r="CP27" s="192" t="e">
        <f ca="1">_xll.BDP($BE27,CP$6,"BEST_FPERIOD_OVERRIDE",CP$5,"BEST_DATA_SOURCE_OVERRIDE","BST","BEST_CONSOLIDATED_OVERRIDE","C")</f>
        <v>#NAME?</v>
      </c>
      <c r="CQ27" s="192" t="e">
        <f ca="1">_xll.BDP($BE27,CQ$6,"BEST_FPERIOD_OVERRIDE",CQ$5,"BEST_DATA_SOURCE_OVERRIDE","BST","BEST_CONSOLIDATED_OVERRIDE","C")</f>
        <v>#NAME?</v>
      </c>
      <c r="CR27" s="192" t="e">
        <f ca="1">_xll.BDP($BE27,CR$6,"BEST_FPERIOD_OVERRIDE",CR$5,"BEST_DATA_SOURCE_OVERRIDE","BST","BEST_CONSOLIDATED_OVERRIDE","C")</f>
        <v>#NAME?</v>
      </c>
      <c r="CS27" s="192" t="e">
        <f ca="1">_xll.BDP($BE27,CS$6,"BEST_FPERIOD_OVERRIDE",CS$5,"BEST_DATA_SOURCE_OVERRIDE","BST","BEST_CONSOLIDATED_OVERRIDE","C")</f>
        <v>#NAME?</v>
      </c>
      <c r="CT27" s="192" t="e">
        <f ca="1">_xll.BDP($BE27,CT$6,"BEST_FPERIOD_OVERRIDE",CT$5,"BEST_DATA_SOURCE_OVERRIDE","BST","BEST_CONSOLIDATED_OVERRIDE","C")</f>
        <v>#NAME?</v>
      </c>
    </row>
    <row r="28" spans="1:98" s="178" customFormat="1" ht="16.5" outlineLevel="1">
      <c r="A28" s="177" t="e">
        <f t="shared" ca="1" si="27"/>
        <v>#NAME?</v>
      </c>
      <c r="B28" s="178" t="e">
        <f ca="1">_xll.BDP(TEXT($F28,)&amp;" equity",TEXT($B$7,))</f>
        <v>#NAME?</v>
      </c>
      <c r="C28" s="178" t="s">
        <v>214</v>
      </c>
      <c r="D28" s="178" t="e">
        <f ca="1">_xll.BDP(TEXT($B28,)&amp;" Curncy",TEXT($D$7,))</f>
        <v>#NAME?</v>
      </c>
      <c r="E28" s="241" t="e">
        <f ca="1">_xll.BDP(TEXT(BloombergCode,)&amp;" equity","LONG_COMP_NAME")</f>
        <v>#NAME?</v>
      </c>
      <c r="F28" s="242" t="s">
        <v>219</v>
      </c>
      <c r="G28" s="243" t="e">
        <f t="shared" ca="1" si="28"/>
        <v>#NAME?</v>
      </c>
      <c r="H28" s="244" t="e">
        <f t="shared" ca="1" si="29"/>
        <v>#NAME?</v>
      </c>
      <c r="I28" s="221" t="e">
        <f t="shared" ca="1" si="43"/>
        <v>#NAME?</v>
      </c>
      <c r="J28" s="221" t="e">
        <f t="shared" ca="1" si="43"/>
        <v>#NAME?</v>
      </c>
      <c r="K28" s="221" t="e">
        <f t="shared" ca="1" si="43"/>
        <v>#NAME?</v>
      </c>
      <c r="L28" s="221" t="e">
        <f t="shared" ca="1" si="43"/>
        <v>#NAME?</v>
      </c>
      <c r="M28" s="221" t="e">
        <f t="shared" ca="1" si="43"/>
        <v>#NAME?</v>
      </c>
      <c r="N28" s="221" t="e">
        <f t="shared" ca="1" si="43"/>
        <v>#NAME?</v>
      </c>
      <c r="O28" s="221" t="e">
        <f t="shared" ca="1" si="43"/>
        <v>#NAME?</v>
      </c>
      <c r="P28" s="221" t="e">
        <f t="shared" ca="1" si="43"/>
        <v>#NAME?</v>
      </c>
      <c r="Q28" s="221" t="e">
        <f t="shared" ca="1" si="43"/>
        <v>#NAME?</v>
      </c>
      <c r="R28" s="221" t="e">
        <f t="shared" ca="1" si="43"/>
        <v>#NAME?</v>
      </c>
      <c r="S28" s="245" t="e">
        <f t="shared" ref="S28:AB28" ca="1" si="46">$G28/BK28/100</f>
        <v>#NAME?</v>
      </c>
      <c r="T28" s="221" t="e">
        <f t="shared" ca="1" si="46"/>
        <v>#NAME?</v>
      </c>
      <c r="U28" s="221" t="e">
        <f t="shared" ca="1" si="46"/>
        <v>#NAME?</v>
      </c>
      <c r="V28" s="221" t="e">
        <f t="shared" ca="1" si="46"/>
        <v>#NAME?</v>
      </c>
      <c r="W28" s="221" t="e">
        <f t="shared" ca="1" si="46"/>
        <v>#NAME?</v>
      </c>
      <c r="X28" s="221" t="e">
        <f t="shared" ca="1" si="46"/>
        <v>#NAME?</v>
      </c>
      <c r="Y28" s="221" t="e">
        <f t="shared" ca="1" si="46"/>
        <v>#NAME?</v>
      </c>
      <c r="Z28" s="221" t="e">
        <f t="shared" ca="1" si="46"/>
        <v>#NAME?</v>
      </c>
      <c r="AA28" s="221" t="e">
        <f t="shared" ca="1" si="46"/>
        <v>#NAME?</v>
      </c>
      <c r="AB28" s="221" t="e">
        <f t="shared" ca="1" si="46"/>
        <v>#NAME?</v>
      </c>
      <c r="AC28" s="246" t="e">
        <f t="shared" ca="1" si="32"/>
        <v>#NAME?</v>
      </c>
      <c r="AD28" s="247" t="e">
        <f t="shared" ca="1" si="33"/>
        <v>#NAME?</v>
      </c>
      <c r="AE28" s="247" t="e">
        <f t="shared" ca="1" si="34"/>
        <v>#NAME?</v>
      </c>
      <c r="AF28" s="247" t="e">
        <f t="shared" ca="1" si="35"/>
        <v>#NAME?</v>
      </c>
      <c r="AG28" s="247" t="e">
        <f t="shared" ca="1" si="36"/>
        <v>#NAME?</v>
      </c>
      <c r="AH28" s="247" t="e">
        <f t="shared" ca="1" si="37"/>
        <v>#NAME?</v>
      </c>
      <c r="AI28" s="247" t="e">
        <f t="shared" ca="1" si="38"/>
        <v>#NAME?</v>
      </c>
      <c r="AJ28" s="247" t="e">
        <f t="shared" ca="1" si="38"/>
        <v>#NAME?</v>
      </c>
      <c r="AK28" s="247" t="e">
        <f t="shared" ca="1" si="38"/>
        <v>#NAME?</v>
      </c>
      <c r="AL28" s="247" t="e">
        <f t="shared" ca="1" si="38"/>
        <v>#NAME?</v>
      </c>
      <c r="AM28" s="175"/>
      <c r="AN28" s="148" t="e">
        <f t="shared" ca="1" si="39"/>
        <v>#NAME?</v>
      </c>
      <c r="AO28" s="136"/>
      <c r="AP28" s="187" t="s">
        <v>216</v>
      </c>
      <c r="AQ28" s="136" t="s">
        <v>217</v>
      </c>
      <c r="AR28" s="188" t="e">
        <f ca="1">IF(LEFT(_xll.BDP(TEXT(BloombergCode,)&amp;" equity",TEXT(BloombergItem,)),1)="#",AV28,_xll.BDP(TEXT(BloombergCode,)&amp;" equity",TEXT(BloombergItem,)))</f>
        <v>#NAME?</v>
      </c>
      <c r="AS28" s="138" t="e">
        <f ca="1">IF(LEFT(_xll.BDP(AR28&amp;" Curncy",TEXT(BloombergItem,)),1)="#",AW28,_xll.BDP(AR28&amp;" Curncy",TEXT(BloombergItem,)))</f>
        <v>#NAME?</v>
      </c>
      <c r="AT28" s="138" t="e">
        <f ca="1">VLOOKUP('Global Properties'!$AR28,#REF!,2,0)</f>
        <v>#NAME?</v>
      </c>
      <c r="AU28" s="189" t="e">
        <f ca="1">_xll.BDP(AR28&amp;" Curncy",TEXT(BloombergItem,))</f>
        <v>#NAME?</v>
      </c>
      <c r="AV28" s="190" t="e">
        <f ca="1">_xll.BDP(TEXT(BloombergCode,)&amp;" equity",TEXT(BloombergItem,))</f>
        <v>#NAME?</v>
      </c>
      <c r="AW28" s="189" t="e">
        <f ca="1">_xll.BDP(AV28&amp;" Curncy",TEXT(BloombergItem,))</f>
        <v>#NAME?</v>
      </c>
      <c r="AX28" s="138" t="e">
        <f ca="1">VLOOKUP('Global Properties'!$AV28,#REF!,2,0)</f>
        <v>#NAME?</v>
      </c>
      <c r="AY28" s="219" t="e">
        <f ca="1">_xll.BDP(TEXT(BloombergCode,)&amp;" equity",TEXT(BloombergItem,))</f>
        <v>#NAME?</v>
      </c>
      <c r="AZ28" s="219" t="e">
        <f ca="1">_xll.BDP(TEXT(BloombergCode,)&amp;" equity",TEXT(BloombergItem,))</f>
        <v>#NAME?</v>
      </c>
      <c r="BA28" s="220" t="e">
        <f ca="1">_xll.BDP(TEXT(BloombergCode,)&amp;" equity",TEXT(BloombergItem,))</f>
        <v>#NAME?</v>
      </c>
      <c r="BB28" s="220" t="e">
        <f ca="1">_xll.BDP(TEXT(BloombergCode,)&amp;" equity",TEXT(BloombergItem,))</f>
        <v>#NAME?</v>
      </c>
      <c r="BC28" s="220" t="e">
        <f ca="1">_xll.BDP(TEXT(BloombergCode,)&amp;" equity",TEXT(BloombergItem,))</f>
        <v>#NAME?</v>
      </c>
      <c r="BD28" s="190"/>
      <c r="BE28" s="139" t="str">
        <f t="shared" si="40"/>
        <v>HMSO LN equity</v>
      </c>
      <c r="BF28" s="139"/>
      <c r="BH28" s="191"/>
      <c r="BI28" s="191" t="e">
        <f ca="1">_xll.BDP($BE28,BI$6,"BEST_FPERIOD_OVERRIDE",BI$5,"BEST_DATA_SOURCE_OVERRIDE","BST","BEST_CONSOLIDATED_OVERRIDE","C")</f>
        <v>#NAME?</v>
      </c>
      <c r="BJ28" s="191" t="e">
        <f ca="1">_xll.BDP($BE28,BJ$6,"BEST_FPERIOD_OVERRIDE",BJ$5,"BEST_DATA_SOURCE_OVERRIDE","BST","BEST_CONSOLIDATED_OVERRIDE","C")</f>
        <v>#NAME?</v>
      </c>
      <c r="BK28" s="191" t="e">
        <f ca="1">_xll.BDP($BE28,BK$6,"BEST_FPERIOD_OVERRIDE",BK$5,"BEST_DATA_SOURCE_OVERRIDE","BST","BEST_CONSOLIDATED_OVERRIDE","C")</f>
        <v>#NAME?</v>
      </c>
      <c r="BL28" s="191" t="e">
        <f ca="1">_xll.BDP($BE28,BL$6,"BEST_FPERIOD_OVERRIDE",BL$5,"BEST_DATA_SOURCE_OVERRIDE","BST","BEST_CONSOLIDATED_OVERRIDE","C")</f>
        <v>#NAME?</v>
      </c>
      <c r="BM28" s="191" t="e">
        <f ca="1">_xll.BDP($BE28,BM$6,"BEST_FPERIOD_OVERRIDE",BM$5,"BEST_DATA_SOURCE_OVERRIDE","BST","BEST_CONSOLIDATED_OVERRIDE","C")</f>
        <v>#NAME?</v>
      </c>
      <c r="BN28" s="191" t="e">
        <f ca="1">_xll.BDP($BE28,BN$6,"BEST_FPERIOD_OVERRIDE",BN$5,"BEST_DATA_SOURCE_OVERRIDE","BST","BEST_CONSOLIDATED_OVERRIDE","C")</f>
        <v>#NAME?</v>
      </c>
      <c r="BO28" s="191" t="e">
        <f ca="1">_xll.BDP($BE28,BO$6,"BEST_FPERIOD_OVERRIDE",BO$5,"BEST_DATA_SOURCE_OVERRIDE","BST","BEST_CONSOLIDATED_OVERRIDE","C")</f>
        <v>#NAME?</v>
      </c>
      <c r="BP28" s="191" t="e">
        <f ca="1">_xll.BDP($BE28,BP$6,"BEST_FPERIOD_OVERRIDE",BP$5,"BEST_DATA_SOURCE_OVERRIDE","BST","BEST_CONSOLIDATED_OVERRIDE","C")</f>
        <v>#NAME?</v>
      </c>
      <c r="BQ28" s="191" t="e">
        <f ca="1">_xll.BDP($BE28,BQ$6,"BEST_FPERIOD_OVERRIDE",BQ$5,"BEST_DATA_SOURCE_OVERRIDE","BST","BEST_CONSOLIDATED_OVERRIDE","C")</f>
        <v>#NAME?</v>
      </c>
      <c r="BR28" s="191" t="e">
        <f ca="1">_xll.BDP($BE28,BR$6,"BEST_FPERIOD_OVERRIDE",BR$5,"BEST_DATA_SOURCE_OVERRIDE","BST","BEST_CONSOLIDATED_OVERRIDE","C")</f>
        <v>#NAME?</v>
      </c>
      <c r="BS28" s="191" t="e">
        <f ca="1">_xll.BDP($BE28,BS$6,"BEST_FPERIOD_OVERRIDE",BS$5,"BEST_DATA_SOURCE_OVERRIDE","BST","BEST_CONSOLIDATED_OVERRIDE","C")</f>
        <v>#NAME?</v>
      </c>
      <c r="BT28" s="191" t="e">
        <f ca="1">_xll.BDP($BE28,BT$6,"BEST_FPERIOD_OVERRIDE",BT$5,"BEST_DATA_SOURCE_OVERRIDE","BST","BEST_CONSOLIDATED_OVERRIDE","C")</f>
        <v>#NAME?</v>
      </c>
      <c r="BV28" s="191" t="e">
        <f ca="1">_xll.BDP($BE28,BV$6,"BEST_FPERIOD_OVERRIDE",BV$5,"BEST_DATA_SOURCE_OVERRIDE","BST","BEST_CONSOLIDATED_OVERRIDE","C")</f>
        <v>#NAME?</v>
      </c>
      <c r="BW28" s="191" t="e">
        <f ca="1">_xll.BDP($BE28,BW$6,"BEST_FPERIOD_OVERRIDE",BW$5,"BEST_DATA_SOURCE_OVERRIDE","BST","BEST_CONSOLIDATED_OVERRIDE","C")</f>
        <v>#NAME?</v>
      </c>
      <c r="BX28" s="191" t="e">
        <f ca="1">_xll.BDP($BE28,BX$6,"BEST_FPERIOD_OVERRIDE",BX$5,"BEST_DATA_SOURCE_OVERRIDE","BST","BEST_CONSOLIDATED_OVERRIDE","C")</f>
        <v>#NAME?</v>
      </c>
      <c r="BY28" s="191" t="e">
        <f ca="1">_xll.BDP($BE28,BY$6,"BEST_FPERIOD_OVERRIDE",BY$5,"BEST_DATA_SOURCE_OVERRIDE","BST","BEST_CONSOLIDATED_OVERRIDE","C")</f>
        <v>#NAME?</v>
      </c>
      <c r="BZ28" s="191" t="e">
        <f ca="1">_xll.BDP($BE28,BZ$6,"BEST_FPERIOD_OVERRIDE",BZ$5,"BEST_DATA_SOURCE_OVERRIDE","BST","BEST_CONSOLIDATED_OVERRIDE","C")</f>
        <v>#NAME?</v>
      </c>
      <c r="CA28" s="191" t="e">
        <f ca="1">_xll.BDP($BE28,CA$6,"BEST_FPERIOD_OVERRIDE",CA$5,"BEST_DATA_SOURCE_OVERRIDE","BST","BEST_CONSOLIDATED_OVERRIDE","C")</f>
        <v>#NAME?</v>
      </c>
      <c r="CB28" s="191" t="e">
        <f ca="1">_xll.BDP($BE28,CB$6,"BEST_FPERIOD_OVERRIDE",CB$5,"BEST_DATA_SOURCE_OVERRIDE","BST","BEST_CONSOLIDATED_OVERRIDE","C")</f>
        <v>#NAME?</v>
      </c>
      <c r="CC28" s="191" t="e">
        <f ca="1">_xll.BDP($BE28,CC$6,"BEST_FPERIOD_OVERRIDE",CC$5,"BEST_DATA_SOURCE_OVERRIDE","BST","BEST_CONSOLIDATED_OVERRIDE","C")</f>
        <v>#NAME?</v>
      </c>
      <c r="CD28" s="191" t="e">
        <f ca="1">_xll.BDP($BE28,CD$6,"BEST_FPERIOD_OVERRIDE",CD$5,"BEST_DATA_SOURCE_OVERRIDE","BST","BEST_CONSOLIDATED_OVERRIDE","C")</f>
        <v>#NAME?</v>
      </c>
      <c r="CE28" s="191" t="e">
        <f ca="1">_xll.BDP($BE28,CE$6,"BEST_FPERIOD_OVERRIDE",CE$5,"BEST_DATA_SOURCE_OVERRIDE","BST","BEST_CONSOLIDATED_OVERRIDE","C")</f>
        <v>#NAME?</v>
      </c>
      <c r="CF28" s="191" t="e">
        <f ca="1">_xll.BDP($BE28,CF$6,"BEST_FPERIOD_OVERRIDE",CF$5,"BEST_DATA_SOURCE_OVERRIDE","BST","BEST_CONSOLIDATED_OVERRIDE","C")</f>
        <v>#NAME?</v>
      </c>
      <c r="CG28" s="191" t="e">
        <f ca="1">_xll.BDP($BE28,CG$6,"BEST_FPERIOD_OVERRIDE",CG$5,"BEST_DATA_SOURCE_OVERRIDE","BST","BEST_CONSOLIDATED_OVERRIDE","C")</f>
        <v>#NAME?</v>
      </c>
      <c r="CH28" s="191"/>
      <c r="CI28" s="192" t="e">
        <f ca="1">_xll.BDP($BE28,CI$6,"BEST_FPERIOD_OVERRIDE",CI$5,"BEST_DATA_SOURCE_OVERRIDE","BST","BEST_CONSOLIDATED_OVERRIDE","C")</f>
        <v>#NAME?</v>
      </c>
      <c r="CJ28" s="192" t="e">
        <f ca="1">_xll.BDP($BE28,CJ$6,"BEST_FPERIOD_OVERRIDE",CJ$5,"BEST_DATA_SOURCE_OVERRIDE","BST","BEST_CONSOLIDATED_OVERRIDE","C")</f>
        <v>#NAME?</v>
      </c>
      <c r="CK28" s="192" t="e">
        <f ca="1">_xll.BDP($BE28,CK$6,"BEST_FPERIOD_OVERRIDE",CK$5,"BEST_DATA_SOURCE_OVERRIDE","BST","BEST_CONSOLIDATED_OVERRIDE","C")</f>
        <v>#NAME?</v>
      </c>
      <c r="CL28" s="192" t="e">
        <f ca="1">_xll.BDP($BE28,CL$6,"BEST_FPERIOD_OVERRIDE",CL$5,"BEST_DATA_SOURCE_OVERRIDE","BST","BEST_CONSOLIDATED_OVERRIDE","C")</f>
        <v>#NAME?</v>
      </c>
      <c r="CM28" s="192" t="e">
        <f ca="1">_xll.BDP($BE28,CM$6,"BEST_FPERIOD_OVERRIDE",CM$5,"BEST_DATA_SOURCE_OVERRIDE","BST","BEST_CONSOLIDATED_OVERRIDE","C")</f>
        <v>#NAME?</v>
      </c>
      <c r="CN28" s="192" t="e">
        <f ca="1">_xll.BDP($BE28,CN$6,"BEST_FPERIOD_OVERRIDE",CN$5,"BEST_DATA_SOURCE_OVERRIDE","BST","BEST_CONSOLIDATED_OVERRIDE","C")</f>
        <v>#NAME?</v>
      </c>
      <c r="CO28" s="192" t="e">
        <f ca="1">_xll.BDP($BE28,CO$6,"BEST_FPERIOD_OVERRIDE",CO$5,"BEST_DATA_SOURCE_OVERRIDE","BST","BEST_CONSOLIDATED_OVERRIDE","C")</f>
        <v>#NAME?</v>
      </c>
      <c r="CP28" s="192" t="e">
        <f ca="1">_xll.BDP($BE28,CP$6,"BEST_FPERIOD_OVERRIDE",CP$5,"BEST_DATA_SOURCE_OVERRIDE","BST","BEST_CONSOLIDATED_OVERRIDE","C")</f>
        <v>#NAME?</v>
      </c>
      <c r="CQ28" s="192" t="e">
        <f ca="1">_xll.BDP($BE28,CQ$6,"BEST_FPERIOD_OVERRIDE",CQ$5,"BEST_DATA_SOURCE_OVERRIDE","BST","BEST_CONSOLIDATED_OVERRIDE","C")</f>
        <v>#NAME?</v>
      </c>
      <c r="CR28" s="192" t="e">
        <f ca="1">_xll.BDP($BE28,CR$6,"BEST_FPERIOD_OVERRIDE",CR$5,"BEST_DATA_SOURCE_OVERRIDE","BST","BEST_CONSOLIDATED_OVERRIDE","C")</f>
        <v>#NAME?</v>
      </c>
      <c r="CS28" s="192" t="e">
        <f ca="1">_xll.BDP($BE28,CS$6,"BEST_FPERIOD_OVERRIDE",CS$5,"BEST_DATA_SOURCE_OVERRIDE","BST","BEST_CONSOLIDATED_OVERRIDE","C")</f>
        <v>#NAME?</v>
      </c>
      <c r="CT28" s="192" t="e">
        <f ca="1">_xll.BDP($BE28,CT$6,"BEST_FPERIOD_OVERRIDE",CT$5,"BEST_DATA_SOURCE_OVERRIDE","BST","BEST_CONSOLIDATED_OVERRIDE","C")</f>
        <v>#NAME?</v>
      </c>
    </row>
    <row r="29" spans="1:98" s="229" customFormat="1" ht="16.5" outlineLevel="1">
      <c r="E29" s="226"/>
      <c r="F29" s="230"/>
      <c r="G29" s="227"/>
      <c r="H29" s="228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2"/>
      <c r="T29" s="231"/>
      <c r="U29" s="231"/>
      <c r="V29" s="231"/>
      <c r="W29" s="231"/>
      <c r="X29" s="231"/>
      <c r="Y29" s="231"/>
      <c r="Z29" s="231"/>
      <c r="AA29" s="231"/>
      <c r="AB29" s="231"/>
      <c r="AC29" s="232"/>
      <c r="AD29" s="231"/>
      <c r="AE29" s="231"/>
      <c r="AF29" s="231"/>
      <c r="AG29" s="231"/>
      <c r="AH29" s="231"/>
      <c r="AI29" s="231"/>
      <c r="AJ29" s="231"/>
      <c r="AK29" s="231"/>
      <c r="AL29" s="231"/>
      <c r="AM29" s="233"/>
      <c r="AN29" s="234"/>
      <c r="AO29" s="235"/>
      <c r="AP29" s="236"/>
      <c r="AQ29" s="235"/>
      <c r="AR29" s="237"/>
      <c r="AS29" s="238"/>
      <c r="AT29" s="238"/>
      <c r="AU29" s="238"/>
      <c r="AV29" s="237"/>
      <c r="AW29" s="238"/>
      <c r="AX29" s="238"/>
      <c r="AY29" s="238"/>
      <c r="AZ29" s="238"/>
      <c r="BA29" s="237"/>
      <c r="BB29" s="237"/>
      <c r="BC29" s="237"/>
      <c r="BD29" s="237"/>
      <c r="BE29" s="239"/>
      <c r="BF29" s="239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</row>
    <row r="30" spans="1:98" ht="16.5" outlineLevel="1">
      <c r="E30" s="167" t="s">
        <v>220</v>
      </c>
      <c r="F30" s="168"/>
      <c r="G30" s="169"/>
      <c r="H30" s="170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2"/>
      <c r="T30" s="171"/>
      <c r="U30" s="171"/>
      <c r="V30" s="171"/>
      <c r="W30" s="171"/>
      <c r="X30" s="171"/>
      <c r="Y30" s="171"/>
      <c r="Z30" s="173"/>
      <c r="AA30" s="173"/>
      <c r="AB30" s="173"/>
      <c r="AC30" s="174"/>
      <c r="AD30" s="173"/>
      <c r="AE30" s="173"/>
      <c r="AF30" s="173"/>
      <c r="AG30" s="173"/>
      <c r="AH30" s="173"/>
      <c r="AI30" s="173"/>
      <c r="AJ30" s="173"/>
      <c r="AK30" s="173"/>
      <c r="AL30" s="173"/>
      <c r="AM30" s="175"/>
      <c r="AN30" s="176" t="str">
        <f>+E30</f>
        <v>Asia</v>
      </c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</row>
    <row r="31" spans="1:98" s="225" customFormat="1" ht="16.5" outlineLevel="1">
      <c r="A31" s="177" t="e">
        <f t="shared" ref="A31:A37" ca="1" si="47">BB31/1000000</f>
        <v>#NAME?</v>
      </c>
      <c r="B31" s="178" t="e">
        <f ca="1">_xll.BDP(TEXT($F31,)&amp;" equity",TEXT($B$7,))</f>
        <v>#NAME?</v>
      </c>
      <c r="C31" s="178" t="s">
        <v>199</v>
      </c>
      <c r="D31" s="178" t="e">
        <f ca="1">_xll.BDP(TEXT($B31,)&amp;" Curncy",TEXT($D$7,))</f>
        <v>#NAME?</v>
      </c>
      <c r="E31" s="252" t="e">
        <f ca="1">_xll.BDP(TEXT(BloombergCode,)&amp;" equity","LONG_COMP_NAME")</f>
        <v>#NAME?</v>
      </c>
      <c r="F31" s="253" t="s">
        <v>221</v>
      </c>
      <c r="G31" s="254" t="e">
        <f t="shared" ref="G31:G37" ca="1" si="48">AZ31</f>
        <v>#NAME?</v>
      </c>
      <c r="H31" s="255" t="e">
        <f t="shared" ref="H31:H37" ca="1" si="49">IF(C31="Mult",D31*A31,IF(C31="Div",A31/D31,"Error"))</f>
        <v>#NAME?</v>
      </c>
      <c r="I31" s="256" t="e">
        <f t="shared" ref="I31:R33" ca="1" si="50">BX31</f>
        <v>#NAME?</v>
      </c>
      <c r="J31" s="256" t="e">
        <f t="shared" ca="1" si="50"/>
        <v>#NAME?</v>
      </c>
      <c r="K31" s="256" t="e">
        <f t="shared" ca="1" si="50"/>
        <v>#NAME?</v>
      </c>
      <c r="L31" s="256" t="e">
        <f t="shared" ca="1" si="50"/>
        <v>#NAME?</v>
      </c>
      <c r="M31" s="256" t="e">
        <f t="shared" ca="1" si="50"/>
        <v>#NAME?</v>
      </c>
      <c r="N31" s="256" t="e">
        <f t="shared" ca="1" si="50"/>
        <v>#NAME?</v>
      </c>
      <c r="O31" s="256" t="e">
        <f t="shared" ca="1" si="50"/>
        <v>#NAME?</v>
      </c>
      <c r="P31" s="256" t="e">
        <f t="shared" ca="1" si="50"/>
        <v>#NAME?</v>
      </c>
      <c r="Q31" s="256" t="e">
        <f t="shared" ca="1" si="50"/>
        <v>#NAME?</v>
      </c>
      <c r="R31" s="256" t="e">
        <f t="shared" ca="1" si="50"/>
        <v>#NAME?</v>
      </c>
      <c r="S31" s="257" t="e">
        <f t="shared" ref="S31:AB31" ca="1" si="51">$G31/BK31</f>
        <v>#NAME?</v>
      </c>
      <c r="T31" s="256" t="e">
        <f t="shared" ca="1" si="51"/>
        <v>#NAME?</v>
      </c>
      <c r="U31" s="256" t="e">
        <f t="shared" ca="1" si="51"/>
        <v>#NAME?</v>
      </c>
      <c r="V31" s="256" t="e">
        <f t="shared" ca="1" si="51"/>
        <v>#NAME?</v>
      </c>
      <c r="W31" s="256" t="e">
        <f t="shared" ca="1" si="51"/>
        <v>#NAME?</v>
      </c>
      <c r="X31" s="256" t="e">
        <f t="shared" ca="1" si="51"/>
        <v>#NAME?</v>
      </c>
      <c r="Y31" s="256" t="e">
        <f t="shared" ca="1" si="51"/>
        <v>#NAME?</v>
      </c>
      <c r="Z31" s="256" t="e">
        <f t="shared" ca="1" si="51"/>
        <v>#NAME?</v>
      </c>
      <c r="AA31" s="256" t="e">
        <f t="shared" ca="1" si="51"/>
        <v>#NAME?</v>
      </c>
      <c r="AB31" s="256" t="e">
        <f t="shared" ca="1" si="51"/>
        <v>#NAME?</v>
      </c>
      <c r="AC31" s="250" t="e">
        <f t="shared" ref="AC31:AC37" ca="1" si="52">CK31/100</f>
        <v>#NAME?</v>
      </c>
      <c r="AD31" s="251" t="e">
        <f t="shared" ref="AD31:AD37" ca="1" si="53">CL31/100</f>
        <v>#NAME?</v>
      </c>
      <c r="AE31" s="251" t="e">
        <f t="shared" ref="AE31:AE37" ca="1" si="54">CM31/100</f>
        <v>#NAME?</v>
      </c>
      <c r="AF31" s="251" t="e">
        <f t="shared" ref="AF31:AF37" ca="1" si="55">CN31/100</f>
        <v>#NAME?</v>
      </c>
      <c r="AG31" s="251" t="e">
        <f t="shared" ref="AG31:AG37" ca="1" si="56">CO31/100</f>
        <v>#NAME?</v>
      </c>
      <c r="AH31" s="251" t="e">
        <f t="shared" ref="AH31:AH37" ca="1" si="57">CP31/100</f>
        <v>#NAME?</v>
      </c>
      <c r="AI31" s="251" t="e">
        <f t="shared" ref="AI31:AL37" ca="1" si="58">CQ31/100</f>
        <v>#NAME?</v>
      </c>
      <c r="AJ31" s="251" t="e">
        <f t="shared" ca="1" si="58"/>
        <v>#NAME?</v>
      </c>
      <c r="AK31" s="251" t="e">
        <f t="shared" ca="1" si="58"/>
        <v>#NAME?</v>
      </c>
      <c r="AL31" s="251" t="e">
        <f t="shared" ca="1" si="58"/>
        <v>#NAME?</v>
      </c>
      <c r="AM31" s="175"/>
      <c r="AN31" s="148" t="e">
        <f t="shared" ref="AN31:AN37" ca="1" si="59">+E31&amp;IF(LEFT(AR31,1)="#",""," ("&amp;AR31&amp;")")</f>
        <v>#NAME?</v>
      </c>
      <c r="AO31" s="222"/>
      <c r="AP31" s="187" t="s">
        <v>216</v>
      </c>
      <c r="AQ31" s="136" t="s">
        <v>217</v>
      </c>
      <c r="AR31" s="188" t="e">
        <f ca="1">IF(LEFT(_xll.BDP(TEXT(BloombergCode,)&amp;" equity",TEXT(BloombergItem,)),1)="#",AV31,_xll.BDP(TEXT(BloombergCode,)&amp;" equity",TEXT(BloombergItem,)))</f>
        <v>#NAME?</v>
      </c>
      <c r="AS31" s="138" t="e">
        <f ca="1">IF(LEFT(_xll.BDP(AR31&amp;" Curncy",TEXT(BloombergItem,)),1)="#",AW31,_xll.BDP(AR31&amp;" Curncy",TEXT(BloombergItem,)))</f>
        <v>#NAME?</v>
      </c>
      <c r="AT31" s="138" t="e">
        <f ca="1">VLOOKUP('Global Properties'!$AR31,#REF!,2,0)</f>
        <v>#NAME?</v>
      </c>
      <c r="AU31" s="189" t="e">
        <f ca="1">_xll.BDP(AR31&amp;" Curncy",TEXT(BloombergItem,))</f>
        <v>#NAME?</v>
      </c>
      <c r="AV31" s="190" t="e">
        <f ca="1">_xll.BDP(TEXT(BloombergCode,)&amp;" equity",TEXT(BloombergItem,))</f>
        <v>#NAME?</v>
      </c>
      <c r="AW31" s="189" t="e">
        <f ca="1">_xll.BDP(AV31&amp;" Curncy",TEXT(BloombergItem,))</f>
        <v>#NAME?</v>
      </c>
      <c r="AX31" s="138" t="e">
        <f ca="1">VLOOKUP('Global Properties'!$AV31,#REF!,2,0)</f>
        <v>#NAME?</v>
      </c>
      <c r="AY31" s="223" t="e">
        <f ca="1">_xll.BDP(TEXT(BloombergCode,)&amp;" equity",TEXT(BloombergItem,))</f>
        <v>#NAME?</v>
      </c>
      <c r="AZ31" s="223" t="e">
        <f ca="1">_xll.BDP(TEXT(BloombergCode,)&amp;" equity",TEXT(BloombergItem,))</f>
        <v>#NAME?</v>
      </c>
      <c r="BA31" s="224" t="e">
        <f ca="1">_xll.BDP(TEXT(BloombergCode,)&amp;" equity",TEXT(BloombergItem,))</f>
        <v>#NAME?</v>
      </c>
      <c r="BB31" s="224" t="e">
        <f ca="1">_xll.BDP(TEXT(BloombergCode,)&amp;" equity",TEXT(BloombergItem,))</f>
        <v>#NAME?</v>
      </c>
      <c r="BC31" s="224" t="e">
        <f ca="1">_xll.BDP(TEXT(BloombergCode,)&amp;" equity",TEXT(BloombergItem,))</f>
        <v>#NAME?</v>
      </c>
      <c r="BD31" s="190"/>
      <c r="BE31" s="139" t="str">
        <f t="shared" ref="BE31:BE37" si="60">BloombergCode&amp;" equity"</f>
        <v>CT SP equity</v>
      </c>
      <c r="BF31" s="139"/>
      <c r="BG31" s="178"/>
      <c r="BH31" s="191"/>
      <c r="BI31" s="191" t="e">
        <f ca="1">_xll.BDP($BE31,BI$6,"BEST_FPERIOD_OVERRIDE",BI$5,"BEST_DATA_SOURCE_OVERRIDE","BST","BEST_CONSOLIDATED_OVERRIDE","C")</f>
        <v>#NAME?</v>
      </c>
      <c r="BJ31" s="191" t="e">
        <f ca="1">_xll.BDP($BE31,BJ$6,"BEST_FPERIOD_OVERRIDE",BJ$5,"BEST_DATA_SOURCE_OVERRIDE","BST","BEST_CONSOLIDATED_OVERRIDE","C")</f>
        <v>#NAME?</v>
      </c>
      <c r="BK31" s="191" t="e">
        <f ca="1">_xll.BDP($BE31,BK$6,"BEST_FPERIOD_OVERRIDE",BK$5,"BEST_DATA_SOURCE_OVERRIDE","BST","BEST_CONSOLIDATED_OVERRIDE","C")</f>
        <v>#NAME?</v>
      </c>
      <c r="BL31" s="191" t="e">
        <f ca="1">_xll.BDP($BE31,BL$6,"BEST_FPERIOD_OVERRIDE",BL$5,"BEST_DATA_SOURCE_OVERRIDE","BST","BEST_CONSOLIDATED_OVERRIDE","C")</f>
        <v>#NAME?</v>
      </c>
      <c r="BM31" s="191" t="e">
        <f ca="1">_xll.BDP($BE31,BM$6,"BEST_FPERIOD_OVERRIDE",BM$5,"BEST_DATA_SOURCE_OVERRIDE","BST","BEST_CONSOLIDATED_OVERRIDE","C")</f>
        <v>#NAME?</v>
      </c>
      <c r="BN31" s="191" t="e">
        <f ca="1">_xll.BDP($BE31,BN$6,"BEST_FPERIOD_OVERRIDE",BN$5,"BEST_DATA_SOURCE_OVERRIDE","BST","BEST_CONSOLIDATED_OVERRIDE","C")</f>
        <v>#NAME?</v>
      </c>
      <c r="BO31" s="191" t="e">
        <f ca="1">_xll.BDP($BE31,BO$6,"BEST_FPERIOD_OVERRIDE",BO$5,"BEST_DATA_SOURCE_OVERRIDE","BST","BEST_CONSOLIDATED_OVERRIDE","C")</f>
        <v>#NAME?</v>
      </c>
      <c r="BP31" s="191" t="e">
        <f ca="1">_xll.BDP($BE31,BP$6,"BEST_FPERIOD_OVERRIDE",BP$5,"BEST_DATA_SOURCE_OVERRIDE","BST","BEST_CONSOLIDATED_OVERRIDE","C")</f>
        <v>#NAME?</v>
      </c>
      <c r="BQ31" s="191" t="e">
        <f ca="1">_xll.BDP($BE31,BQ$6,"BEST_FPERIOD_OVERRIDE",BQ$5,"BEST_DATA_SOURCE_OVERRIDE","BST","BEST_CONSOLIDATED_OVERRIDE","C")</f>
        <v>#NAME?</v>
      </c>
      <c r="BR31" s="191" t="e">
        <f ca="1">_xll.BDP($BE31,BR$6,"BEST_FPERIOD_OVERRIDE",BR$5,"BEST_DATA_SOURCE_OVERRIDE","BST","BEST_CONSOLIDATED_OVERRIDE","C")</f>
        <v>#NAME?</v>
      </c>
      <c r="BS31" s="191" t="e">
        <f ca="1">_xll.BDP($BE31,BS$6,"BEST_FPERIOD_OVERRIDE",BS$5,"BEST_DATA_SOURCE_OVERRIDE","BST","BEST_CONSOLIDATED_OVERRIDE","C")</f>
        <v>#NAME?</v>
      </c>
      <c r="BT31" s="191" t="e">
        <f ca="1">_xll.BDP($BE31,BT$6,"BEST_FPERIOD_OVERRIDE",BT$5,"BEST_DATA_SOURCE_OVERRIDE","BST","BEST_CONSOLIDATED_OVERRIDE","C")</f>
        <v>#NAME?</v>
      </c>
      <c r="BU31" s="178"/>
      <c r="BV31" s="191" t="e">
        <f ca="1">_xll.BDP($BE31,BV$6,"BEST_FPERIOD_OVERRIDE",BV$5,"BEST_DATA_SOURCE_OVERRIDE","BST","BEST_CONSOLIDATED_OVERRIDE","C")</f>
        <v>#NAME?</v>
      </c>
      <c r="BW31" s="191" t="e">
        <f ca="1">_xll.BDP($BE31,BW$6,"BEST_FPERIOD_OVERRIDE",BW$5,"BEST_DATA_SOURCE_OVERRIDE","BST","BEST_CONSOLIDATED_OVERRIDE","C")</f>
        <v>#NAME?</v>
      </c>
      <c r="BX31" s="191" t="e">
        <f ca="1">_xll.BDP($BE31,BX$6,"BEST_FPERIOD_OVERRIDE",BX$5,"BEST_DATA_SOURCE_OVERRIDE","BST","BEST_CONSOLIDATED_OVERRIDE","C")</f>
        <v>#NAME?</v>
      </c>
      <c r="BY31" s="191" t="e">
        <f ca="1">_xll.BDP($BE31,BY$6,"BEST_FPERIOD_OVERRIDE",BY$5,"BEST_DATA_SOURCE_OVERRIDE","BST","BEST_CONSOLIDATED_OVERRIDE","C")</f>
        <v>#NAME?</v>
      </c>
      <c r="BZ31" s="191" t="e">
        <f ca="1">_xll.BDP($BE31,BZ$6,"BEST_FPERIOD_OVERRIDE",BZ$5,"BEST_DATA_SOURCE_OVERRIDE","BST","BEST_CONSOLIDATED_OVERRIDE","C")</f>
        <v>#NAME?</v>
      </c>
      <c r="CA31" s="191" t="e">
        <f ca="1">_xll.BDP($BE31,CA$6,"BEST_FPERIOD_OVERRIDE",CA$5,"BEST_DATA_SOURCE_OVERRIDE","BST","BEST_CONSOLIDATED_OVERRIDE","C")</f>
        <v>#NAME?</v>
      </c>
      <c r="CB31" s="191" t="e">
        <f ca="1">_xll.BDP($BE31,CB$6,"BEST_FPERIOD_OVERRIDE",CB$5,"BEST_DATA_SOURCE_OVERRIDE","BST","BEST_CONSOLIDATED_OVERRIDE","C")</f>
        <v>#NAME?</v>
      </c>
      <c r="CC31" s="191" t="e">
        <f ca="1">_xll.BDP($BE31,CC$6,"BEST_FPERIOD_OVERRIDE",CC$5,"BEST_DATA_SOURCE_OVERRIDE","BST","BEST_CONSOLIDATED_OVERRIDE","C")</f>
        <v>#NAME?</v>
      </c>
      <c r="CD31" s="191" t="e">
        <f ca="1">_xll.BDP($BE31,CD$6,"BEST_FPERIOD_OVERRIDE",CD$5,"BEST_DATA_SOURCE_OVERRIDE","BST","BEST_CONSOLIDATED_OVERRIDE","C")</f>
        <v>#NAME?</v>
      </c>
      <c r="CE31" s="191" t="e">
        <f ca="1">_xll.BDP($BE31,CE$6,"BEST_FPERIOD_OVERRIDE",CE$5,"BEST_DATA_SOURCE_OVERRIDE","BST","BEST_CONSOLIDATED_OVERRIDE","C")</f>
        <v>#NAME?</v>
      </c>
      <c r="CF31" s="191" t="e">
        <f ca="1">_xll.BDP($BE31,CF$6,"BEST_FPERIOD_OVERRIDE",CF$5,"BEST_DATA_SOURCE_OVERRIDE","BST","BEST_CONSOLIDATED_OVERRIDE","C")</f>
        <v>#NAME?</v>
      </c>
      <c r="CG31" s="191" t="e">
        <f ca="1">_xll.BDP($BE31,CG$6,"BEST_FPERIOD_OVERRIDE",CG$5,"BEST_DATA_SOURCE_OVERRIDE","BST","BEST_CONSOLIDATED_OVERRIDE","C")</f>
        <v>#NAME?</v>
      </c>
      <c r="CH31" s="191"/>
      <c r="CI31" s="192" t="e">
        <f ca="1">_xll.BDP($BE31,CI$6,"BEST_FPERIOD_OVERRIDE",CI$5,"BEST_DATA_SOURCE_OVERRIDE","BST","BEST_CONSOLIDATED_OVERRIDE","C")</f>
        <v>#NAME?</v>
      </c>
      <c r="CJ31" s="192" t="e">
        <f ca="1">_xll.BDP($BE31,CJ$6,"BEST_FPERIOD_OVERRIDE",CJ$5,"BEST_DATA_SOURCE_OVERRIDE","BST","BEST_CONSOLIDATED_OVERRIDE","C")</f>
        <v>#NAME?</v>
      </c>
      <c r="CK31" s="192" t="e">
        <f ca="1">_xll.BDP($BE31,CK$6,"BEST_FPERIOD_OVERRIDE",CK$5,"BEST_DATA_SOURCE_OVERRIDE","BST","BEST_CONSOLIDATED_OVERRIDE","C")</f>
        <v>#NAME?</v>
      </c>
      <c r="CL31" s="192" t="e">
        <f ca="1">_xll.BDP($BE31,CL$6,"BEST_FPERIOD_OVERRIDE",CL$5,"BEST_DATA_SOURCE_OVERRIDE","BST","BEST_CONSOLIDATED_OVERRIDE","C")</f>
        <v>#NAME?</v>
      </c>
      <c r="CM31" s="192" t="e">
        <f ca="1">_xll.BDP($BE31,CM$6,"BEST_FPERIOD_OVERRIDE",CM$5,"BEST_DATA_SOURCE_OVERRIDE","BST","BEST_CONSOLIDATED_OVERRIDE","C")</f>
        <v>#NAME?</v>
      </c>
      <c r="CN31" s="192" t="e">
        <f ca="1">_xll.BDP($BE31,CN$6,"BEST_FPERIOD_OVERRIDE",CN$5,"BEST_DATA_SOURCE_OVERRIDE","BST","BEST_CONSOLIDATED_OVERRIDE","C")</f>
        <v>#NAME?</v>
      </c>
      <c r="CO31" s="192" t="e">
        <f ca="1">_xll.BDP($BE31,CO$6,"BEST_FPERIOD_OVERRIDE",CO$5,"BEST_DATA_SOURCE_OVERRIDE","BST","BEST_CONSOLIDATED_OVERRIDE","C")</f>
        <v>#NAME?</v>
      </c>
      <c r="CP31" s="192" t="e">
        <f ca="1">_xll.BDP($BE31,CP$6,"BEST_FPERIOD_OVERRIDE",CP$5,"BEST_DATA_SOURCE_OVERRIDE","BST","BEST_CONSOLIDATED_OVERRIDE","C")</f>
        <v>#NAME?</v>
      </c>
      <c r="CQ31" s="192" t="e">
        <f ca="1">_xll.BDP($BE31,CQ$6,"BEST_FPERIOD_OVERRIDE",CQ$5,"BEST_DATA_SOURCE_OVERRIDE","BST","BEST_CONSOLIDATED_OVERRIDE","C")</f>
        <v>#NAME?</v>
      </c>
      <c r="CR31" s="192" t="e">
        <f ca="1">_xll.BDP($BE31,CR$6,"BEST_FPERIOD_OVERRIDE",CR$5,"BEST_DATA_SOURCE_OVERRIDE","BST","BEST_CONSOLIDATED_OVERRIDE","C")</f>
        <v>#NAME?</v>
      </c>
      <c r="CS31" s="192" t="e">
        <f ca="1">_xll.BDP($BE31,CS$6,"BEST_FPERIOD_OVERRIDE",CS$5,"BEST_DATA_SOURCE_OVERRIDE","BST","BEST_CONSOLIDATED_OVERRIDE","C")</f>
        <v>#NAME?</v>
      </c>
      <c r="CT31" s="192" t="e">
        <f ca="1">_xll.BDP($BE31,CT$6,"BEST_FPERIOD_OVERRIDE",CT$5,"BEST_DATA_SOURCE_OVERRIDE","BST","BEST_CONSOLIDATED_OVERRIDE","C")</f>
        <v>#NAME?</v>
      </c>
    </row>
    <row r="32" spans="1:98" s="178" customFormat="1" ht="16.5" outlineLevel="1">
      <c r="A32" s="177" t="e">
        <f t="shared" ca="1" si="47"/>
        <v>#NAME?</v>
      </c>
      <c r="B32" s="178" t="e">
        <f ca="1">_xll.BDP(TEXT($F32,)&amp;" equity",TEXT($B$7,))</f>
        <v>#NAME?</v>
      </c>
      <c r="C32" s="178" t="s">
        <v>199</v>
      </c>
      <c r="D32" s="178" t="e">
        <f ca="1">_xll.BDP(TEXT($B32,)&amp;" Curncy",TEXT($D$7,))</f>
        <v>#NAME?</v>
      </c>
      <c r="E32" s="241" t="e">
        <f ca="1">_xll.BDP(TEXT(BloombergCode,)&amp;" equity","LONG_COMP_NAME")</f>
        <v>#NAME?</v>
      </c>
      <c r="F32" s="242" t="s">
        <v>222</v>
      </c>
      <c r="G32" s="243" t="e">
        <f t="shared" ca="1" si="48"/>
        <v>#NAME?</v>
      </c>
      <c r="H32" s="244" t="e">
        <f t="shared" ca="1" si="49"/>
        <v>#NAME?</v>
      </c>
      <c r="I32" s="221" t="e">
        <f t="shared" ca="1" si="50"/>
        <v>#NAME?</v>
      </c>
      <c r="J32" s="221" t="e">
        <f t="shared" ca="1" si="50"/>
        <v>#NAME?</v>
      </c>
      <c r="K32" s="221" t="e">
        <f t="shared" ca="1" si="50"/>
        <v>#NAME?</v>
      </c>
      <c r="L32" s="221" t="e">
        <f t="shared" ca="1" si="50"/>
        <v>#NAME?</v>
      </c>
      <c r="M32" s="221" t="e">
        <f t="shared" ca="1" si="50"/>
        <v>#NAME?</v>
      </c>
      <c r="N32" s="221" t="e">
        <f t="shared" ca="1" si="50"/>
        <v>#NAME?</v>
      </c>
      <c r="O32" s="221" t="e">
        <f t="shared" ca="1" si="50"/>
        <v>#NAME?</v>
      </c>
      <c r="P32" s="221" t="e">
        <f t="shared" ca="1" si="50"/>
        <v>#NAME?</v>
      </c>
      <c r="Q32" s="221" t="e">
        <f t="shared" ca="1" si="50"/>
        <v>#NAME?</v>
      </c>
      <c r="R32" s="221" t="e">
        <f t="shared" ca="1" si="50"/>
        <v>#NAME?</v>
      </c>
      <c r="S32" s="245" t="e">
        <f t="shared" ref="S32:S37" ca="1" si="61">$G32/BK32</f>
        <v>#NAME?</v>
      </c>
      <c r="T32" s="221" t="e">
        <f t="shared" ref="T32:T37" ca="1" si="62">$G32/BL32</f>
        <v>#NAME?</v>
      </c>
      <c r="U32" s="221" t="e">
        <f t="shared" ref="U32:U37" ca="1" si="63">$G32/BM32</f>
        <v>#NAME?</v>
      </c>
      <c r="V32" s="221" t="e">
        <f t="shared" ref="V32:V37" ca="1" si="64">$G32/BN32</f>
        <v>#NAME?</v>
      </c>
      <c r="W32" s="221" t="e">
        <f t="shared" ref="W32:W37" ca="1" si="65">$G32/BO32</f>
        <v>#NAME?</v>
      </c>
      <c r="X32" s="221" t="e">
        <f t="shared" ref="X32:X37" ca="1" si="66">$G32/BP32</f>
        <v>#NAME?</v>
      </c>
      <c r="Y32" s="221" t="e">
        <f t="shared" ref="Y32:AB37" ca="1" si="67">$G32/BQ32</f>
        <v>#NAME?</v>
      </c>
      <c r="Z32" s="221" t="e">
        <f t="shared" ca="1" si="67"/>
        <v>#NAME?</v>
      </c>
      <c r="AA32" s="221" t="e">
        <f t="shared" ca="1" si="67"/>
        <v>#NAME?</v>
      </c>
      <c r="AB32" s="221" t="e">
        <f t="shared" ca="1" si="67"/>
        <v>#NAME?</v>
      </c>
      <c r="AC32" s="248" t="e">
        <f t="shared" ca="1" si="52"/>
        <v>#NAME?</v>
      </c>
      <c r="AD32" s="249" t="e">
        <f t="shared" ca="1" si="53"/>
        <v>#NAME?</v>
      </c>
      <c r="AE32" s="249" t="e">
        <f t="shared" ca="1" si="54"/>
        <v>#NAME?</v>
      </c>
      <c r="AF32" s="249" t="e">
        <f t="shared" ca="1" si="55"/>
        <v>#NAME?</v>
      </c>
      <c r="AG32" s="249" t="e">
        <f t="shared" ca="1" si="56"/>
        <v>#NAME?</v>
      </c>
      <c r="AH32" s="249" t="e">
        <f t="shared" ca="1" si="57"/>
        <v>#NAME?</v>
      </c>
      <c r="AI32" s="249" t="e">
        <f t="shared" ca="1" si="58"/>
        <v>#NAME?</v>
      </c>
      <c r="AJ32" s="249" t="e">
        <f t="shared" ca="1" si="58"/>
        <v>#NAME?</v>
      </c>
      <c r="AK32" s="249" t="e">
        <f t="shared" ca="1" si="58"/>
        <v>#NAME?</v>
      </c>
      <c r="AL32" s="249" t="e">
        <f t="shared" ca="1" si="58"/>
        <v>#NAME?</v>
      </c>
      <c r="AM32" s="175"/>
      <c r="AN32" s="148" t="e">
        <f t="shared" ca="1" si="59"/>
        <v>#NAME?</v>
      </c>
      <c r="AO32" s="136"/>
      <c r="AP32" s="187" t="s">
        <v>216</v>
      </c>
      <c r="AQ32" s="136" t="s">
        <v>217</v>
      </c>
      <c r="AR32" s="188" t="e">
        <f ca="1">IF(LEFT(_xll.BDP(TEXT(BloombergCode,)&amp;" equity",TEXT(BloombergItem,)),1)="#",AV32,_xll.BDP(TEXT(BloombergCode,)&amp;" equity",TEXT(BloombergItem,)))</f>
        <v>#NAME?</v>
      </c>
      <c r="AS32" s="138" t="e">
        <f ca="1">IF(LEFT(_xll.BDP(AR32&amp;" Curncy",TEXT(BloombergItem,)),1)="#",AW32,_xll.BDP(AR32&amp;" Curncy",TEXT(BloombergItem,)))</f>
        <v>#NAME?</v>
      </c>
      <c r="AT32" s="138" t="e">
        <f ca="1">VLOOKUP('Global Properties'!$AR32,#REF!,2,0)</f>
        <v>#NAME?</v>
      </c>
      <c r="AU32" s="189" t="e">
        <f ca="1">_xll.BDP(AR32&amp;" Curncy",TEXT(BloombergItem,))</f>
        <v>#NAME?</v>
      </c>
      <c r="AV32" s="190" t="e">
        <f ca="1">_xll.BDP(TEXT(BloombergCode,)&amp;" equity",TEXT(BloombergItem,))</f>
        <v>#NAME?</v>
      </c>
      <c r="AW32" s="189" t="e">
        <f ca="1">_xll.BDP(AV32&amp;" Curncy",TEXT(BloombergItem,))</f>
        <v>#NAME?</v>
      </c>
      <c r="AX32" s="138" t="e">
        <f ca="1">VLOOKUP('Global Properties'!$AV32,#REF!,2,0)</f>
        <v>#NAME?</v>
      </c>
      <c r="AY32" s="219" t="e">
        <f ca="1">_xll.BDP(TEXT(BloombergCode,)&amp;" equity",TEXT(BloombergItem,))</f>
        <v>#NAME?</v>
      </c>
      <c r="AZ32" s="219" t="e">
        <f ca="1">_xll.BDP(TEXT(BloombergCode,)&amp;" equity",TEXT(BloombergItem,))</f>
        <v>#NAME?</v>
      </c>
      <c r="BA32" s="220" t="e">
        <f ca="1">_xll.BDP(TEXT(BloombergCode,)&amp;" equity",TEXT(BloombergItem,))</f>
        <v>#NAME?</v>
      </c>
      <c r="BB32" s="220" t="e">
        <f ca="1">_xll.BDP(TEXT(BloombergCode,)&amp;" equity",TEXT(BloombergItem,))</f>
        <v>#NAME?</v>
      </c>
      <c r="BC32" s="220" t="e">
        <f ca="1">_xll.BDP(TEXT(BloombergCode,)&amp;" equity",TEXT(BloombergItem,))</f>
        <v>#NAME?</v>
      </c>
      <c r="BD32" s="190"/>
      <c r="BE32" s="139" t="str">
        <f t="shared" si="60"/>
        <v>823 HK equity</v>
      </c>
      <c r="BF32" s="139"/>
      <c r="BH32" s="191"/>
      <c r="BI32" s="191" t="e">
        <f ca="1">_xll.BDP($BE32,BI$6,"BEST_FPERIOD_OVERRIDE",BI$5,"BEST_DATA_SOURCE_OVERRIDE","BST","BEST_CONSOLIDATED_OVERRIDE","C")</f>
        <v>#NAME?</v>
      </c>
      <c r="BJ32" s="191" t="e">
        <f ca="1">_xll.BDP($BE32,BJ$6,"BEST_FPERIOD_OVERRIDE",BJ$5,"BEST_DATA_SOURCE_OVERRIDE","BST","BEST_CONSOLIDATED_OVERRIDE","C")</f>
        <v>#NAME?</v>
      </c>
      <c r="BK32" s="191" t="e">
        <f ca="1">_xll.BDP($BE32,BK$6,"BEST_FPERIOD_OVERRIDE",BK$5,"BEST_DATA_SOURCE_OVERRIDE","BST","BEST_CONSOLIDATED_OVERRIDE","C")</f>
        <v>#NAME?</v>
      </c>
      <c r="BL32" s="191" t="e">
        <f ca="1">_xll.BDP($BE32,BL$6,"BEST_FPERIOD_OVERRIDE",BL$5,"BEST_DATA_SOURCE_OVERRIDE","BST","BEST_CONSOLIDATED_OVERRIDE","C")</f>
        <v>#NAME?</v>
      </c>
      <c r="BM32" s="191" t="e">
        <f ca="1">_xll.BDP($BE32,BM$6,"BEST_FPERIOD_OVERRIDE",BM$5,"BEST_DATA_SOURCE_OVERRIDE","BST","BEST_CONSOLIDATED_OVERRIDE","C")</f>
        <v>#NAME?</v>
      </c>
      <c r="BN32" s="191" t="e">
        <f ca="1">_xll.BDP($BE32,BN$6,"BEST_FPERIOD_OVERRIDE",BN$5,"BEST_DATA_SOURCE_OVERRIDE","BST","BEST_CONSOLIDATED_OVERRIDE","C")</f>
        <v>#NAME?</v>
      </c>
      <c r="BO32" s="191" t="e">
        <f ca="1">_xll.BDP($BE32,BO$6,"BEST_FPERIOD_OVERRIDE",BO$5,"BEST_DATA_SOURCE_OVERRIDE","BST","BEST_CONSOLIDATED_OVERRIDE","C")</f>
        <v>#NAME?</v>
      </c>
      <c r="BP32" s="191" t="e">
        <f ca="1">_xll.BDP($BE32,BP$6,"BEST_FPERIOD_OVERRIDE",BP$5,"BEST_DATA_SOURCE_OVERRIDE","BST","BEST_CONSOLIDATED_OVERRIDE","C")</f>
        <v>#NAME?</v>
      </c>
      <c r="BQ32" s="191" t="e">
        <f ca="1">_xll.BDP($BE32,BQ$6,"BEST_FPERIOD_OVERRIDE",BQ$5,"BEST_DATA_SOURCE_OVERRIDE","BST","BEST_CONSOLIDATED_OVERRIDE","C")</f>
        <v>#NAME?</v>
      </c>
      <c r="BR32" s="191" t="e">
        <f ca="1">_xll.BDP($BE32,BR$6,"BEST_FPERIOD_OVERRIDE",BR$5,"BEST_DATA_SOURCE_OVERRIDE","BST","BEST_CONSOLIDATED_OVERRIDE","C")</f>
        <v>#NAME?</v>
      </c>
      <c r="BS32" s="191" t="e">
        <f ca="1">_xll.BDP($BE32,BS$6,"BEST_FPERIOD_OVERRIDE",BS$5,"BEST_DATA_SOURCE_OVERRIDE","BST","BEST_CONSOLIDATED_OVERRIDE","C")</f>
        <v>#NAME?</v>
      </c>
      <c r="BT32" s="191" t="e">
        <f ca="1">_xll.BDP($BE32,BT$6,"BEST_FPERIOD_OVERRIDE",BT$5,"BEST_DATA_SOURCE_OVERRIDE","BST","BEST_CONSOLIDATED_OVERRIDE","C")</f>
        <v>#NAME?</v>
      </c>
      <c r="BV32" s="191" t="e">
        <f ca="1">_xll.BDP($BE32,BV$6,"BEST_FPERIOD_OVERRIDE",BV$5,"BEST_DATA_SOURCE_OVERRIDE","BST","BEST_CONSOLIDATED_OVERRIDE","C")</f>
        <v>#NAME?</v>
      </c>
      <c r="BW32" s="191" t="e">
        <f ca="1">_xll.BDP($BE32,BW$6,"BEST_FPERIOD_OVERRIDE",BW$5,"BEST_DATA_SOURCE_OVERRIDE","BST","BEST_CONSOLIDATED_OVERRIDE","C")</f>
        <v>#NAME?</v>
      </c>
      <c r="BX32" s="191" t="e">
        <f ca="1">_xll.BDP($BE32,BX$6,"BEST_FPERIOD_OVERRIDE",BX$5,"BEST_DATA_SOURCE_OVERRIDE","BST","BEST_CONSOLIDATED_OVERRIDE","C")</f>
        <v>#NAME?</v>
      </c>
      <c r="BY32" s="191" t="e">
        <f ca="1">_xll.BDP($BE32,BY$6,"BEST_FPERIOD_OVERRIDE",BY$5,"BEST_DATA_SOURCE_OVERRIDE","BST","BEST_CONSOLIDATED_OVERRIDE","C")</f>
        <v>#NAME?</v>
      </c>
      <c r="BZ32" s="191" t="e">
        <f ca="1">_xll.BDP($BE32,BZ$6,"BEST_FPERIOD_OVERRIDE",BZ$5,"BEST_DATA_SOURCE_OVERRIDE","BST","BEST_CONSOLIDATED_OVERRIDE","C")</f>
        <v>#NAME?</v>
      </c>
      <c r="CA32" s="191" t="e">
        <f ca="1">_xll.BDP($BE32,CA$6,"BEST_FPERIOD_OVERRIDE",CA$5,"BEST_DATA_SOURCE_OVERRIDE","BST","BEST_CONSOLIDATED_OVERRIDE","C")</f>
        <v>#NAME?</v>
      </c>
      <c r="CB32" s="191" t="e">
        <f ca="1">_xll.BDP($BE32,CB$6,"BEST_FPERIOD_OVERRIDE",CB$5,"BEST_DATA_SOURCE_OVERRIDE","BST","BEST_CONSOLIDATED_OVERRIDE","C")</f>
        <v>#NAME?</v>
      </c>
      <c r="CC32" s="191" t="e">
        <f ca="1">_xll.BDP($BE32,CC$6,"BEST_FPERIOD_OVERRIDE",CC$5,"BEST_DATA_SOURCE_OVERRIDE","BST","BEST_CONSOLIDATED_OVERRIDE","C")</f>
        <v>#NAME?</v>
      </c>
      <c r="CD32" s="191" t="e">
        <f ca="1">_xll.BDP($BE32,CD$6,"BEST_FPERIOD_OVERRIDE",CD$5,"BEST_DATA_SOURCE_OVERRIDE","BST","BEST_CONSOLIDATED_OVERRIDE","C")</f>
        <v>#NAME?</v>
      </c>
      <c r="CE32" s="191" t="e">
        <f ca="1">_xll.BDP($BE32,CE$6,"BEST_FPERIOD_OVERRIDE",CE$5,"BEST_DATA_SOURCE_OVERRIDE","BST","BEST_CONSOLIDATED_OVERRIDE","C")</f>
        <v>#NAME?</v>
      </c>
      <c r="CF32" s="191" t="e">
        <f ca="1">_xll.BDP($BE32,CF$6,"BEST_FPERIOD_OVERRIDE",CF$5,"BEST_DATA_SOURCE_OVERRIDE","BST","BEST_CONSOLIDATED_OVERRIDE","C")</f>
        <v>#NAME?</v>
      </c>
      <c r="CG32" s="191" t="e">
        <f ca="1">_xll.BDP($BE32,CG$6,"BEST_FPERIOD_OVERRIDE",CG$5,"BEST_DATA_SOURCE_OVERRIDE","BST","BEST_CONSOLIDATED_OVERRIDE","C")</f>
        <v>#NAME?</v>
      </c>
      <c r="CH32" s="191"/>
      <c r="CI32" s="192" t="e">
        <f ca="1">_xll.BDP($BE32,CI$6,"BEST_FPERIOD_OVERRIDE",CI$5,"BEST_DATA_SOURCE_OVERRIDE","BST","BEST_CONSOLIDATED_OVERRIDE","C")</f>
        <v>#NAME?</v>
      </c>
      <c r="CJ32" s="192" t="e">
        <f ca="1">_xll.BDP($BE32,CJ$6,"BEST_FPERIOD_OVERRIDE",CJ$5,"BEST_DATA_SOURCE_OVERRIDE","BST","BEST_CONSOLIDATED_OVERRIDE","C")</f>
        <v>#NAME?</v>
      </c>
      <c r="CK32" s="192" t="e">
        <f ca="1">_xll.BDP($BE32,CK$6,"BEST_FPERIOD_OVERRIDE",CK$5,"BEST_DATA_SOURCE_OVERRIDE","BST","BEST_CONSOLIDATED_OVERRIDE","C")</f>
        <v>#NAME?</v>
      </c>
      <c r="CL32" s="192" t="e">
        <f ca="1">_xll.BDP($BE32,CL$6,"BEST_FPERIOD_OVERRIDE",CL$5,"BEST_DATA_SOURCE_OVERRIDE","BST","BEST_CONSOLIDATED_OVERRIDE","C")</f>
        <v>#NAME?</v>
      </c>
      <c r="CM32" s="192" t="e">
        <f ca="1">_xll.BDP($BE32,CM$6,"BEST_FPERIOD_OVERRIDE",CM$5,"BEST_DATA_SOURCE_OVERRIDE","BST","BEST_CONSOLIDATED_OVERRIDE","C")</f>
        <v>#NAME?</v>
      </c>
      <c r="CN32" s="192" t="e">
        <f ca="1">_xll.BDP($BE32,CN$6,"BEST_FPERIOD_OVERRIDE",CN$5,"BEST_DATA_SOURCE_OVERRIDE","BST","BEST_CONSOLIDATED_OVERRIDE","C")</f>
        <v>#NAME?</v>
      </c>
      <c r="CO32" s="192" t="e">
        <f ca="1">_xll.BDP($BE32,CO$6,"BEST_FPERIOD_OVERRIDE",CO$5,"BEST_DATA_SOURCE_OVERRIDE","BST","BEST_CONSOLIDATED_OVERRIDE","C")</f>
        <v>#NAME?</v>
      </c>
      <c r="CP32" s="192" t="e">
        <f ca="1">_xll.BDP($BE32,CP$6,"BEST_FPERIOD_OVERRIDE",CP$5,"BEST_DATA_SOURCE_OVERRIDE","BST","BEST_CONSOLIDATED_OVERRIDE","C")</f>
        <v>#NAME?</v>
      </c>
      <c r="CQ32" s="192" t="e">
        <f ca="1">_xll.BDP($BE32,CQ$6,"BEST_FPERIOD_OVERRIDE",CQ$5,"BEST_DATA_SOURCE_OVERRIDE","BST","BEST_CONSOLIDATED_OVERRIDE","C")</f>
        <v>#NAME?</v>
      </c>
      <c r="CR32" s="192" t="e">
        <f ca="1">_xll.BDP($BE32,CR$6,"BEST_FPERIOD_OVERRIDE",CR$5,"BEST_DATA_SOURCE_OVERRIDE","BST","BEST_CONSOLIDATED_OVERRIDE","C")</f>
        <v>#NAME?</v>
      </c>
      <c r="CS32" s="192" t="e">
        <f ca="1">_xll.BDP($BE32,CS$6,"BEST_FPERIOD_OVERRIDE",CS$5,"BEST_DATA_SOURCE_OVERRIDE","BST","BEST_CONSOLIDATED_OVERRIDE","C")</f>
        <v>#NAME?</v>
      </c>
      <c r="CT32" s="192" t="e">
        <f ca="1">_xll.BDP($BE32,CT$6,"BEST_FPERIOD_OVERRIDE",CT$5,"BEST_DATA_SOURCE_OVERRIDE","BST","BEST_CONSOLIDATED_OVERRIDE","C")</f>
        <v>#NAME?</v>
      </c>
    </row>
    <row r="33" spans="1:98" s="225" customFormat="1" ht="16.5" outlineLevel="1">
      <c r="A33" s="177" t="e">
        <f t="shared" ca="1" si="47"/>
        <v>#NAME?</v>
      </c>
      <c r="B33" s="178" t="e">
        <f ca="1">_xll.BDP(TEXT($F33,)&amp;" equity",TEXT($B$7,))</f>
        <v>#NAME?</v>
      </c>
      <c r="C33" s="178" t="s">
        <v>199</v>
      </c>
      <c r="D33" s="178" t="e">
        <f ca="1">_xll.BDP(TEXT($B33,)&amp;" Curncy",TEXT($D$7,))</f>
        <v>#NAME?</v>
      </c>
      <c r="E33" s="252" t="e">
        <f ca="1">_xll.BDP(TEXT(BloombergCode,)&amp;" equity","LONG_COMP_NAME")</f>
        <v>#NAME?</v>
      </c>
      <c r="F33" s="253" t="s">
        <v>223</v>
      </c>
      <c r="G33" s="254" t="e">
        <f t="shared" ca="1" si="48"/>
        <v>#NAME?</v>
      </c>
      <c r="H33" s="255" t="e">
        <f t="shared" ca="1" si="49"/>
        <v>#NAME?</v>
      </c>
      <c r="I33" s="256" t="e">
        <f t="shared" ca="1" si="50"/>
        <v>#NAME?</v>
      </c>
      <c r="J33" s="256" t="e">
        <f t="shared" ca="1" si="50"/>
        <v>#NAME?</v>
      </c>
      <c r="K33" s="256" t="e">
        <f t="shared" ca="1" si="50"/>
        <v>#NAME?</v>
      </c>
      <c r="L33" s="256" t="e">
        <f t="shared" ca="1" si="50"/>
        <v>#NAME?</v>
      </c>
      <c r="M33" s="256" t="e">
        <f t="shared" ca="1" si="50"/>
        <v>#NAME?</v>
      </c>
      <c r="N33" s="256" t="e">
        <f t="shared" ca="1" si="50"/>
        <v>#NAME?</v>
      </c>
      <c r="O33" s="256" t="e">
        <f t="shared" ca="1" si="50"/>
        <v>#NAME?</v>
      </c>
      <c r="P33" s="256" t="e">
        <f t="shared" ca="1" si="50"/>
        <v>#NAME?</v>
      </c>
      <c r="Q33" s="256" t="e">
        <f t="shared" ca="1" si="50"/>
        <v>#NAME?</v>
      </c>
      <c r="R33" s="256" t="e">
        <f t="shared" ca="1" si="50"/>
        <v>#NAME?</v>
      </c>
      <c r="S33" s="257" t="e">
        <f t="shared" ca="1" si="61"/>
        <v>#NAME?</v>
      </c>
      <c r="T33" s="256" t="e">
        <f t="shared" ca="1" si="62"/>
        <v>#NAME?</v>
      </c>
      <c r="U33" s="256" t="e">
        <f t="shared" ca="1" si="63"/>
        <v>#NAME?</v>
      </c>
      <c r="V33" s="256" t="e">
        <f t="shared" ca="1" si="64"/>
        <v>#NAME?</v>
      </c>
      <c r="W33" s="256" t="e">
        <f t="shared" ca="1" si="65"/>
        <v>#NAME?</v>
      </c>
      <c r="X33" s="256" t="e">
        <f t="shared" ca="1" si="66"/>
        <v>#NAME?</v>
      </c>
      <c r="Y33" s="256" t="e">
        <f t="shared" ca="1" si="67"/>
        <v>#NAME?</v>
      </c>
      <c r="Z33" s="256" t="e">
        <f t="shared" ca="1" si="67"/>
        <v>#NAME?</v>
      </c>
      <c r="AA33" s="256" t="e">
        <f t="shared" ca="1" si="67"/>
        <v>#NAME?</v>
      </c>
      <c r="AB33" s="256" t="e">
        <f t="shared" ca="1" si="67"/>
        <v>#NAME?</v>
      </c>
      <c r="AC33" s="250" t="e">
        <f t="shared" ca="1" si="52"/>
        <v>#NAME?</v>
      </c>
      <c r="AD33" s="251" t="e">
        <f t="shared" ca="1" si="53"/>
        <v>#NAME?</v>
      </c>
      <c r="AE33" s="251" t="e">
        <f t="shared" ca="1" si="54"/>
        <v>#NAME?</v>
      </c>
      <c r="AF33" s="251" t="e">
        <f t="shared" ca="1" si="55"/>
        <v>#NAME?</v>
      </c>
      <c r="AG33" s="251" t="e">
        <f t="shared" ca="1" si="56"/>
        <v>#NAME?</v>
      </c>
      <c r="AH33" s="251" t="e">
        <f t="shared" ca="1" si="57"/>
        <v>#NAME?</v>
      </c>
      <c r="AI33" s="251" t="e">
        <f t="shared" ca="1" si="58"/>
        <v>#NAME?</v>
      </c>
      <c r="AJ33" s="251" t="e">
        <f t="shared" ca="1" si="58"/>
        <v>#NAME?</v>
      </c>
      <c r="AK33" s="251" t="e">
        <f t="shared" ca="1" si="58"/>
        <v>#NAME?</v>
      </c>
      <c r="AL33" s="251" t="e">
        <f t="shared" ca="1" si="58"/>
        <v>#NAME?</v>
      </c>
      <c r="AM33" s="175"/>
      <c r="AN33" s="148" t="e">
        <f t="shared" ca="1" si="59"/>
        <v>#NAME?</v>
      </c>
      <c r="AO33" s="222"/>
      <c r="AP33" s="187" t="s">
        <v>211</v>
      </c>
      <c r="AQ33" s="136" t="s">
        <v>212</v>
      </c>
      <c r="AR33" s="188" t="e">
        <f ca="1">IF(LEFT(_xll.BDP(TEXT(BloombergCode,)&amp;" equity",TEXT(BloombergItem,)),1)="#",AV33,_xll.BDP(TEXT(BloombergCode,)&amp;" equity",TEXT(BloombergItem,)))</f>
        <v>#NAME?</v>
      </c>
      <c r="AS33" s="138" t="e">
        <f ca="1">IF(LEFT(_xll.BDP(AR33&amp;" Curncy",TEXT(BloombergItem,)),1)="#",AW33,_xll.BDP(AR33&amp;" Curncy",TEXT(BloombergItem,)))</f>
        <v>#NAME?</v>
      </c>
      <c r="AT33" s="138" t="e">
        <f ca="1">VLOOKUP('Global Properties'!$AR33,#REF!,2,0)</f>
        <v>#NAME?</v>
      </c>
      <c r="AU33" s="189" t="e">
        <f ca="1">_xll.BDP(AR33&amp;" Curncy",TEXT(BloombergItem,))</f>
        <v>#NAME?</v>
      </c>
      <c r="AV33" s="190" t="e">
        <f ca="1">_xll.BDP(TEXT(BloombergCode,)&amp;" equity",TEXT(BloombergItem,))</f>
        <v>#NAME?</v>
      </c>
      <c r="AW33" s="189" t="e">
        <f ca="1">_xll.BDP(AV33&amp;" Curncy",TEXT(BloombergItem,))</f>
        <v>#NAME?</v>
      </c>
      <c r="AX33" s="138" t="e">
        <f ca="1">VLOOKUP('Global Properties'!$AV33,#REF!,2,0)</f>
        <v>#NAME?</v>
      </c>
      <c r="AY33" s="223" t="e">
        <f ca="1">_xll.BDP(TEXT(BloombergCode,)&amp;" equity",TEXT(BloombergItem,))</f>
        <v>#NAME?</v>
      </c>
      <c r="AZ33" s="223" t="e">
        <f ca="1">_xll.BDP(TEXT(BloombergCode,)&amp;" equity",TEXT(BloombergItem,))</f>
        <v>#NAME?</v>
      </c>
      <c r="BA33" s="224" t="e">
        <f ca="1">_xll.BDP(TEXT(BloombergCode,)&amp;" equity",TEXT(BloombergItem,))</f>
        <v>#NAME?</v>
      </c>
      <c r="BB33" s="224" t="e">
        <f ca="1">_xll.BDP(TEXT(BloombergCode,)&amp;" equity",TEXT(BloombergItem,))</f>
        <v>#NAME?</v>
      </c>
      <c r="BC33" s="224" t="e">
        <f ca="1">_xll.BDP(TEXT(BloombergCode,)&amp;" equity",TEXT(BloombergItem,))</f>
        <v>#NAME?</v>
      </c>
      <c r="BD33" s="190"/>
      <c r="BE33" s="139" t="str">
        <f t="shared" si="60"/>
        <v>2778 HK equity</v>
      </c>
      <c r="BF33" s="139"/>
      <c r="BG33" s="178"/>
      <c r="BH33" s="191"/>
      <c r="BI33" s="191" t="e">
        <f ca="1">_xll.BDP($BE33,BI$6,"BEST_FPERIOD_OVERRIDE",BI$5,"BEST_DATA_SOURCE_OVERRIDE","BST","BEST_CONSOLIDATED_OVERRIDE","C")</f>
        <v>#NAME?</v>
      </c>
      <c r="BJ33" s="191" t="e">
        <f ca="1">_xll.BDP($BE33,BJ$6,"BEST_FPERIOD_OVERRIDE",BJ$5,"BEST_DATA_SOURCE_OVERRIDE","BST","BEST_CONSOLIDATED_OVERRIDE","C")</f>
        <v>#NAME?</v>
      </c>
      <c r="BK33" s="191" t="e">
        <f ca="1">_xll.BDP($BE33,BK$6,"BEST_FPERIOD_OVERRIDE",BK$5,"BEST_DATA_SOURCE_OVERRIDE","BST","BEST_CONSOLIDATED_OVERRIDE","C")</f>
        <v>#NAME?</v>
      </c>
      <c r="BL33" s="191" t="e">
        <f ca="1">_xll.BDP($BE33,BL$6,"BEST_FPERIOD_OVERRIDE",BL$5,"BEST_DATA_SOURCE_OVERRIDE","BST","BEST_CONSOLIDATED_OVERRIDE","C")</f>
        <v>#NAME?</v>
      </c>
      <c r="BM33" s="191" t="e">
        <f ca="1">_xll.BDP($BE33,BM$6,"BEST_FPERIOD_OVERRIDE",BM$5,"BEST_DATA_SOURCE_OVERRIDE","BST","BEST_CONSOLIDATED_OVERRIDE","C")</f>
        <v>#NAME?</v>
      </c>
      <c r="BN33" s="191" t="e">
        <f ca="1">_xll.BDP($BE33,BN$6,"BEST_FPERIOD_OVERRIDE",BN$5,"BEST_DATA_SOURCE_OVERRIDE","BST","BEST_CONSOLIDATED_OVERRIDE","C")</f>
        <v>#NAME?</v>
      </c>
      <c r="BO33" s="191" t="e">
        <f ca="1">_xll.BDP($BE33,BO$6,"BEST_FPERIOD_OVERRIDE",BO$5,"BEST_DATA_SOURCE_OVERRIDE","BST","BEST_CONSOLIDATED_OVERRIDE","C")</f>
        <v>#NAME?</v>
      </c>
      <c r="BP33" s="191" t="e">
        <f ca="1">_xll.BDP($BE33,BP$6,"BEST_FPERIOD_OVERRIDE",BP$5,"BEST_DATA_SOURCE_OVERRIDE","BST","BEST_CONSOLIDATED_OVERRIDE","C")</f>
        <v>#NAME?</v>
      </c>
      <c r="BQ33" s="191" t="e">
        <f ca="1">_xll.BDP($BE33,BQ$6,"BEST_FPERIOD_OVERRIDE",BQ$5,"BEST_DATA_SOURCE_OVERRIDE","BST","BEST_CONSOLIDATED_OVERRIDE","C")</f>
        <v>#NAME?</v>
      </c>
      <c r="BR33" s="191" t="e">
        <f ca="1">_xll.BDP($BE33,BR$6,"BEST_FPERIOD_OVERRIDE",BR$5,"BEST_DATA_SOURCE_OVERRIDE","BST","BEST_CONSOLIDATED_OVERRIDE","C")</f>
        <v>#NAME?</v>
      </c>
      <c r="BS33" s="191" t="e">
        <f ca="1">_xll.BDP($BE33,BS$6,"BEST_FPERIOD_OVERRIDE",BS$5,"BEST_DATA_SOURCE_OVERRIDE","BST","BEST_CONSOLIDATED_OVERRIDE","C")</f>
        <v>#NAME?</v>
      </c>
      <c r="BT33" s="191" t="e">
        <f ca="1">_xll.BDP($BE33,BT$6,"BEST_FPERIOD_OVERRIDE",BT$5,"BEST_DATA_SOURCE_OVERRIDE","BST","BEST_CONSOLIDATED_OVERRIDE","C")</f>
        <v>#NAME?</v>
      </c>
      <c r="BU33" s="178"/>
      <c r="BV33" s="191" t="e">
        <f ca="1">_xll.BDP($BE33,BV$6,"BEST_FPERIOD_OVERRIDE",BV$5,"BEST_DATA_SOURCE_OVERRIDE","BST","BEST_CONSOLIDATED_OVERRIDE","C")</f>
        <v>#NAME?</v>
      </c>
      <c r="BW33" s="191" t="e">
        <f ca="1">_xll.BDP($BE33,BW$6,"BEST_FPERIOD_OVERRIDE",BW$5,"BEST_DATA_SOURCE_OVERRIDE","BST","BEST_CONSOLIDATED_OVERRIDE","C")</f>
        <v>#NAME?</v>
      </c>
      <c r="BX33" s="191" t="e">
        <f ca="1">_xll.BDP($BE33,BX$6,"BEST_FPERIOD_OVERRIDE",BX$5,"BEST_DATA_SOURCE_OVERRIDE","BST","BEST_CONSOLIDATED_OVERRIDE","C")</f>
        <v>#NAME?</v>
      </c>
      <c r="BY33" s="191" t="e">
        <f ca="1">_xll.BDP($BE33,BY$6,"BEST_FPERIOD_OVERRIDE",BY$5,"BEST_DATA_SOURCE_OVERRIDE","BST","BEST_CONSOLIDATED_OVERRIDE","C")</f>
        <v>#NAME?</v>
      </c>
      <c r="BZ33" s="191" t="e">
        <f ca="1">_xll.BDP($BE33,BZ$6,"BEST_FPERIOD_OVERRIDE",BZ$5,"BEST_DATA_SOURCE_OVERRIDE","BST","BEST_CONSOLIDATED_OVERRIDE","C")</f>
        <v>#NAME?</v>
      </c>
      <c r="CA33" s="191" t="e">
        <f ca="1">_xll.BDP($BE33,CA$6,"BEST_FPERIOD_OVERRIDE",CA$5,"BEST_DATA_SOURCE_OVERRIDE","BST","BEST_CONSOLIDATED_OVERRIDE","C")</f>
        <v>#NAME?</v>
      </c>
      <c r="CB33" s="191" t="e">
        <f ca="1">_xll.BDP($BE33,CB$6,"BEST_FPERIOD_OVERRIDE",CB$5,"BEST_DATA_SOURCE_OVERRIDE","BST","BEST_CONSOLIDATED_OVERRIDE","C")</f>
        <v>#NAME?</v>
      </c>
      <c r="CC33" s="191" t="e">
        <f ca="1">_xll.BDP($BE33,CC$6,"BEST_FPERIOD_OVERRIDE",CC$5,"BEST_DATA_SOURCE_OVERRIDE","BST","BEST_CONSOLIDATED_OVERRIDE","C")</f>
        <v>#NAME?</v>
      </c>
      <c r="CD33" s="191" t="e">
        <f ca="1">_xll.BDP($BE33,CD$6,"BEST_FPERIOD_OVERRIDE",CD$5,"BEST_DATA_SOURCE_OVERRIDE","BST","BEST_CONSOLIDATED_OVERRIDE","C")</f>
        <v>#NAME?</v>
      </c>
      <c r="CE33" s="191" t="e">
        <f ca="1">_xll.BDP($BE33,CE$6,"BEST_FPERIOD_OVERRIDE",CE$5,"BEST_DATA_SOURCE_OVERRIDE","BST","BEST_CONSOLIDATED_OVERRIDE","C")</f>
        <v>#NAME?</v>
      </c>
      <c r="CF33" s="191" t="e">
        <f ca="1">_xll.BDP($BE33,CF$6,"BEST_FPERIOD_OVERRIDE",CF$5,"BEST_DATA_SOURCE_OVERRIDE","BST","BEST_CONSOLIDATED_OVERRIDE","C")</f>
        <v>#NAME?</v>
      </c>
      <c r="CG33" s="191" t="e">
        <f ca="1">_xll.BDP($BE33,CG$6,"BEST_FPERIOD_OVERRIDE",CG$5,"BEST_DATA_SOURCE_OVERRIDE","BST","BEST_CONSOLIDATED_OVERRIDE","C")</f>
        <v>#NAME?</v>
      </c>
      <c r="CH33" s="191"/>
      <c r="CI33" s="192" t="e">
        <f ca="1">_xll.BDP($BE33,CI$6,"BEST_FPERIOD_OVERRIDE",CI$5,"BEST_DATA_SOURCE_OVERRIDE","BST","BEST_CONSOLIDATED_OVERRIDE","C")</f>
        <v>#NAME?</v>
      </c>
      <c r="CJ33" s="192" t="e">
        <f ca="1">_xll.BDP($BE33,CJ$6,"BEST_FPERIOD_OVERRIDE",CJ$5,"BEST_DATA_SOURCE_OVERRIDE","BST","BEST_CONSOLIDATED_OVERRIDE","C")</f>
        <v>#NAME?</v>
      </c>
      <c r="CK33" s="192" t="e">
        <f ca="1">_xll.BDP($BE33,CK$6,"BEST_FPERIOD_OVERRIDE",CK$5,"BEST_DATA_SOURCE_OVERRIDE","BST","BEST_CONSOLIDATED_OVERRIDE","C")</f>
        <v>#NAME?</v>
      </c>
      <c r="CL33" s="192" t="e">
        <f ca="1">_xll.BDP($BE33,CL$6,"BEST_FPERIOD_OVERRIDE",CL$5,"BEST_DATA_SOURCE_OVERRIDE","BST","BEST_CONSOLIDATED_OVERRIDE","C")</f>
        <v>#NAME?</v>
      </c>
      <c r="CM33" s="192" t="e">
        <f ca="1">_xll.BDP($BE33,CM$6,"BEST_FPERIOD_OVERRIDE",CM$5,"BEST_DATA_SOURCE_OVERRIDE","BST","BEST_CONSOLIDATED_OVERRIDE","C")</f>
        <v>#NAME?</v>
      </c>
      <c r="CN33" s="192" t="e">
        <f ca="1">_xll.BDP($BE33,CN$6,"BEST_FPERIOD_OVERRIDE",CN$5,"BEST_DATA_SOURCE_OVERRIDE","BST","BEST_CONSOLIDATED_OVERRIDE","C")</f>
        <v>#NAME?</v>
      </c>
      <c r="CO33" s="192" t="e">
        <f ca="1">_xll.BDP($BE33,CO$6,"BEST_FPERIOD_OVERRIDE",CO$5,"BEST_DATA_SOURCE_OVERRIDE","BST","BEST_CONSOLIDATED_OVERRIDE","C")</f>
        <v>#NAME?</v>
      </c>
      <c r="CP33" s="192" t="e">
        <f ca="1">_xll.BDP($BE33,CP$6,"BEST_FPERIOD_OVERRIDE",CP$5,"BEST_DATA_SOURCE_OVERRIDE","BST","BEST_CONSOLIDATED_OVERRIDE","C")</f>
        <v>#NAME?</v>
      </c>
      <c r="CQ33" s="192" t="e">
        <f ca="1">_xll.BDP($BE33,CQ$6,"BEST_FPERIOD_OVERRIDE",CQ$5,"BEST_DATA_SOURCE_OVERRIDE","BST","BEST_CONSOLIDATED_OVERRIDE","C")</f>
        <v>#NAME?</v>
      </c>
      <c r="CR33" s="192" t="e">
        <f ca="1">_xll.BDP($BE33,CR$6,"BEST_FPERIOD_OVERRIDE",CR$5,"BEST_DATA_SOURCE_OVERRIDE","BST","BEST_CONSOLIDATED_OVERRIDE","C")</f>
        <v>#NAME?</v>
      </c>
      <c r="CS33" s="192" t="e">
        <f ca="1">_xll.BDP($BE33,CS$6,"BEST_FPERIOD_OVERRIDE",CS$5,"BEST_DATA_SOURCE_OVERRIDE","BST","BEST_CONSOLIDATED_OVERRIDE","C")</f>
        <v>#NAME?</v>
      </c>
      <c r="CT33" s="192" t="e">
        <f ca="1">_xll.BDP($BE33,CT$6,"BEST_FPERIOD_OVERRIDE",CT$5,"BEST_DATA_SOURCE_OVERRIDE","BST","BEST_CONSOLIDATED_OVERRIDE","C")</f>
        <v>#NAME?</v>
      </c>
    </row>
    <row r="34" spans="1:98" s="178" customFormat="1" ht="16.5" outlineLevel="1">
      <c r="A34" s="177" t="e">
        <f t="shared" ca="1" si="47"/>
        <v>#NAME?</v>
      </c>
      <c r="B34" s="178" t="e">
        <f ca="1">_xll.BDP(TEXT($F34,)&amp;" equity",TEXT($B$7,))</f>
        <v>#NAME?</v>
      </c>
      <c r="C34" s="178" t="s">
        <v>199</v>
      </c>
      <c r="D34" s="178" t="e">
        <f ca="1">_xll.BDP(TEXT($B34,)&amp;" Curncy",TEXT($D$7,))</f>
        <v>#NAME?</v>
      </c>
      <c r="E34" s="241" t="e">
        <f ca="1">_xll.BDP(TEXT(BloombergCode,)&amp;" equity","LONG_COMP_NAME")</f>
        <v>#NAME?</v>
      </c>
      <c r="F34" s="242" t="s">
        <v>265</v>
      </c>
      <c r="G34" s="243" t="e">
        <f t="shared" ca="1" si="48"/>
        <v>#NAME?</v>
      </c>
      <c r="H34" s="244" t="e">
        <f t="shared" ca="1" si="49"/>
        <v>#NAME?</v>
      </c>
      <c r="I34" s="221" t="e">
        <f t="shared" ref="I34:R35" ca="1" si="68">BX34</f>
        <v>#NAME?</v>
      </c>
      <c r="J34" s="221" t="e">
        <f t="shared" ca="1" si="68"/>
        <v>#NAME?</v>
      </c>
      <c r="K34" s="221" t="e">
        <f t="shared" ca="1" si="68"/>
        <v>#NAME?</v>
      </c>
      <c r="L34" s="221" t="e">
        <f t="shared" ca="1" si="68"/>
        <v>#NAME?</v>
      </c>
      <c r="M34" s="221" t="e">
        <f t="shared" ca="1" si="68"/>
        <v>#NAME?</v>
      </c>
      <c r="N34" s="221" t="e">
        <f t="shared" ca="1" si="68"/>
        <v>#NAME?</v>
      </c>
      <c r="O34" s="221" t="e">
        <f t="shared" ca="1" si="68"/>
        <v>#NAME?</v>
      </c>
      <c r="P34" s="221" t="e">
        <f t="shared" ca="1" si="68"/>
        <v>#NAME?</v>
      </c>
      <c r="Q34" s="221" t="e">
        <f t="shared" ca="1" si="68"/>
        <v>#NAME?</v>
      </c>
      <c r="R34" s="221" t="e">
        <f t="shared" ca="1" si="68"/>
        <v>#NAME?</v>
      </c>
      <c r="S34" s="245" t="e">
        <f t="shared" ca="1" si="61"/>
        <v>#NAME?</v>
      </c>
      <c r="T34" s="221" t="e">
        <f t="shared" ca="1" si="62"/>
        <v>#NAME?</v>
      </c>
      <c r="U34" s="221" t="e">
        <f t="shared" ca="1" si="63"/>
        <v>#NAME?</v>
      </c>
      <c r="V34" s="221" t="e">
        <f t="shared" ca="1" si="64"/>
        <v>#NAME?</v>
      </c>
      <c r="W34" s="221" t="e">
        <f t="shared" ca="1" si="65"/>
        <v>#NAME?</v>
      </c>
      <c r="X34" s="221" t="e">
        <f t="shared" ca="1" si="66"/>
        <v>#NAME?</v>
      </c>
      <c r="Y34" s="221" t="e">
        <f t="shared" ca="1" si="67"/>
        <v>#NAME?</v>
      </c>
      <c r="Z34" s="221" t="e">
        <f t="shared" ca="1" si="67"/>
        <v>#NAME?</v>
      </c>
      <c r="AA34" s="221" t="e">
        <f t="shared" ca="1" si="67"/>
        <v>#NAME?</v>
      </c>
      <c r="AB34" s="221" t="e">
        <f t="shared" ca="1" si="67"/>
        <v>#NAME?</v>
      </c>
      <c r="AC34" s="248" t="e">
        <f t="shared" ca="1" si="52"/>
        <v>#NAME?</v>
      </c>
      <c r="AD34" s="249" t="e">
        <f t="shared" ca="1" si="53"/>
        <v>#NAME?</v>
      </c>
      <c r="AE34" s="249" t="e">
        <f t="shared" ca="1" si="54"/>
        <v>#NAME?</v>
      </c>
      <c r="AF34" s="249" t="e">
        <f t="shared" ca="1" si="55"/>
        <v>#NAME?</v>
      </c>
      <c r="AG34" s="249" t="e">
        <f t="shared" ca="1" si="56"/>
        <v>#NAME?</v>
      </c>
      <c r="AH34" s="249" t="e">
        <f t="shared" ca="1" si="57"/>
        <v>#NAME?</v>
      </c>
      <c r="AI34" s="249" t="e">
        <f t="shared" ca="1" si="58"/>
        <v>#NAME?</v>
      </c>
      <c r="AJ34" s="249" t="e">
        <f t="shared" ca="1" si="58"/>
        <v>#NAME?</v>
      </c>
      <c r="AK34" s="249" t="e">
        <f t="shared" ca="1" si="58"/>
        <v>#NAME?</v>
      </c>
      <c r="AL34" s="249" t="e">
        <f t="shared" ca="1" si="58"/>
        <v>#NAME?</v>
      </c>
      <c r="AM34" s="175"/>
      <c r="AN34" s="148" t="e">
        <f t="shared" ca="1" si="59"/>
        <v>#NAME?</v>
      </c>
      <c r="AO34" s="136"/>
      <c r="AP34" s="187" t="s">
        <v>216</v>
      </c>
      <c r="AQ34" s="136" t="s">
        <v>217</v>
      </c>
      <c r="AR34" s="188" t="e">
        <f ca="1">IF(LEFT(_xll.BDP(TEXT(BloombergCode,)&amp;" equity",TEXT(BloombergItem,)),1)="#",AV34,_xll.BDP(TEXT(BloombergCode,)&amp;" equity",TEXT(BloombergItem,)))</f>
        <v>#NAME?</v>
      </c>
      <c r="AS34" s="138" t="e">
        <f ca="1">IF(LEFT(_xll.BDP(AR34&amp;" Curncy",TEXT(BloombergItem,)),1)="#",AW34,_xll.BDP(AR34&amp;" Curncy",TEXT(BloombergItem,)))</f>
        <v>#NAME?</v>
      </c>
      <c r="AT34" s="138" t="e">
        <f ca="1">VLOOKUP('Global Properties'!$AR34,#REF!,2,0)</f>
        <v>#NAME?</v>
      </c>
      <c r="AU34" s="189" t="e">
        <f ca="1">_xll.BDP(AR34&amp;" Curncy",TEXT(BloombergItem,))</f>
        <v>#NAME?</v>
      </c>
      <c r="AV34" s="190" t="e">
        <f ca="1">_xll.BDP(TEXT(BloombergCode,)&amp;" equity",TEXT(BloombergItem,))</f>
        <v>#NAME?</v>
      </c>
      <c r="AW34" s="189" t="e">
        <f ca="1">_xll.BDP(AV34&amp;" Curncy",TEXT(BloombergItem,))</f>
        <v>#NAME?</v>
      </c>
      <c r="AX34" s="138" t="e">
        <f ca="1">VLOOKUP('Global Properties'!$AV34,#REF!,2,0)</f>
        <v>#NAME?</v>
      </c>
      <c r="AY34" s="219" t="e">
        <f ca="1">_xll.BDP(TEXT(BloombergCode,)&amp;" equity",TEXT(BloombergItem,))</f>
        <v>#NAME?</v>
      </c>
      <c r="AZ34" s="219" t="e">
        <f ca="1">_xll.BDP(TEXT(BloombergCode,)&amp;" equity",TEXT(BloombergItem,))</f>
        <v>#NAME?</v>
      </c>
      <c r="BA34" s="220" t="e">
        <f ca="1">_xll.BDP(TEXT(BloombergCode,)&amp;" equity",TEXT(BloombergItem,))</f>
        <v>#NAME?</v>
      </c>
      <c r="BB34" s="220" t="e">
        <f ca="1">_xll.BDP(TEXT(BloombergCode,)&amp;" equity",TEXT(BloombergItem,))</f>
        <v>#NAME?</v>
      </c>
      <c r="BC34" s="220" t="e">
        <f ca="1">_xll.BDP(TEXT(BloombergCode,)&amp;" equity",TEXT(BloombergItem,))</f>
        <v>#NAME?</v>
      </c>
      <c r="BD34" s="190"/>
      <c r="BE34" s="139" t="str">
        <f t="shared" si="60"/>
        <v>778 HK equity</v>
      </c>
      <c r="BF34" s="139"/>
      <c r="BH34" s="191"/>
      <c r="BI34" s="191" t="e">
        <f ca="1">_xll.BDP($BE34,BI$6,"BEST_FPERIOD_OVERRIDE",BI$5,"BEST_DATA_SOURCE_OVERRIDE","BST","BEST_CONSOLIDATED_OVERRIDE","C")</f>
        <v>#NAME?</v>
      </c>
      <c r="BJ34" s="191" t="e">
        <f ca="1">_xll.BDP($BE34,BJ$6,"BEST_FPERIOD_OVERRIDE",BJ$5,"BEST_DATA_SOURCE_OVERRIDE","BST","BEST_CONSOLIDATED_OVERRIDE","C")</f>
        <v>#NAME?</v>
      </c>
      <c r="BK34" s="191" t="e">
        <f ca="1">_xll.BDP($BE34,BK$6,"BEST_FPERIOD_OVERRIDE",BK$5,"BEST_DATA_SOURCE_OVERRIDE","BST","BEST_CONSOLIDATED_OVERRIDE","C")</f>
        <v>#NAME?</v>
      </c>
      <c r="BL34" s="191" t="e">
        <f ca="1">_xll.BDP($BE34,BL$6,"BEST_FPERIOD_OVERRIDE",BL$5,"BEST_DATA_SOURCE_OVERRIDE","BST","BEST_CONSOLIDATED_OVERRIDE","C")</f>
        <v>#NAME?</v>
      </c>
      <c r="BM34" s="191" t="e">
        <f ca="1">_xll.BDP($BE34,BM$6,"BEST_FPERIOD_OVERRIDE",BM$5,"BEST_DATA_SOURCE_OVERRIDE","BST","BEST_CONSOLIDATED_OVERRIDE","C")</f>
        <v>#NAME?</v>
      </c>
      <c r="BN34" s="191" t="e">
        <f ca="1">_xll.BDP($BE34,BN$6,"BEST_FPERIOD_OVERRIDE",BN$5,"BEST_DATA_SOURCE_OVERRIDE","BST","BEST_CONSOLIDATED_OVERRIDE","C")</f>
        <v>#NAME?</v>
      </c>
      <c r="BO34" s="191" t="e">
        <f ca="1">_xll.BDP($BE34,BO$6,"BEST_FPERIOD_OVERRIDE",BO$5,"BEST_DATA_SOURCE_OVERRIDE","BST","BEST_CONSOLIDATED_OVERRIDE","C")</f>
        <v>#NAME?</v>
      </c>
      <c r="BP34" s="191" t="e">
        <f ca="1">_xll.BDP($BE34,BP$6,"BEST_FPERIOD_OVERRIDE",BP$5,"BEST_DATA_SOURCE_OVERRIDE","BST","BEST_CONSOLIDATED_OVERRIDE","C")</f>
        <v>#NAME?</v>
      </c>
      <c r="BQ34" s="191" t="e">
        <f ca="1">_xll.BDP($BE34,BQ$6,"BEST_FPERIOD_OVERRIDE",BQ$5,"BEST_DATA_SOURCE_OVERRIDE","BST","BEST_CONSOLIDATED_OVERRIDE","C")</f>
        <v>#NAME?</v>
      </c>
      <c r="BR34" s="191" t="e">
        <f ca="1">_xll.BDP($BE34,BR$6,"BEST_FPERIOD_OVERRIDE",BR$5,"BEST_DATA_SOURCE_OVERRIDE","BST","BEST_CONSOLIDATED_OVERRIDE","C")</f>
        <v>#NAME?</v>
      </c>
      <c r="BS34" s="191" t="e">
        <f ca="1">_xll.BDP($BE34,BS$6,"BEST_FPERIOD_OVERRIDE",BS$5,"BEST_DATA_SOURCE_OVERRIDE","BST","BEST_CONSOLIDATED_OVERRIDE","C")</f>
        <v>#NAME?</v>
      </c>
      <c r="BT34" s="191" t="e">
        <f ca="1">_xll.BDP($BE34,BT$6,"BEST_FPERIOD_OVERRIDE",BT$5,"BEST_DATA_SOURCE_OVERRIDE","BST","BEST_CONSOLIDATED_OVERRIDE","C")</f>
        <v>#NAME?</v>
      </c>
      <c r="BV34" s="191" t="e">
        <f ca="1">_xll.BDP($BE34,BV$6,"BEST_FPERIOD_OVERRIDE",BV$5,"BEST_DATA_SOURCE_OVERRIDE","BST","BEST_CONSOLIDATED_OVERRIDE","C")</f>
        <v>#NAME?</v>
      </c>
      <c r="BW34" s="191" t="e">
        <f ca="1">_xll.BDP($BE34,BW$6,"BEST_FPERIOD_OVERRIDE",BW$5,"BEST_DATA_SOURCE_OVERRIDE","BST","BEST_CONSOLIDATED_OVERRIDE","C")</f>
        <v>#NAME?</v>
      </c>
      <c r="BX34" s="191" t="e">
        <f ca="1">_xll.BDP($BE34,BX$6,"BEST_FPERIOD_OVERRIDE",BX$5,"BEST_DATA_SOURCE_OVERRIDE","BST","BEST_CONSOLIDATED_OVERRIDE","C")</f>
        <v>#NAME?</v>
      </c>
      <c r="BY34" s="191" t="e">
        <f ca="1">_xll.BDP($BE34,BY$6,"BEST_FPERIOD_OVERRIDE",BY$5,"BEST_DATA_SOURCE_OVERRIDE","BST","BEST_CONSOLIDATED_OVERRIDE","C")</f>
        <v>#NAME?</v>
      </c>
      <c r="BZ34" s="191" t="e">
        <f ca="1">_xll.BDP($BE34,BZ$6,"BEST_FPERIOD_OVERRIDE",BZ$5,"BEST_DATA_SOURCE_OVERRIDE","BST","BEST_CONSOLIDATED_OVERRIDE","C")</f>
        <v>#NAME?</v>
      </c>
      <c r="CA34" s="191" t="e">
        <f ca="1">_xll.BDP($BE34,CA$6,"BEST_FPERIOD_OVERRIDE",CA$5,"BEST_DATA_SOURCE_OVERRIDE","BST","BEST_CONSOLIDATED_OVERRIDE","C")</f>
        <v>#NAME?</v>
      </c>
      <c r="CB34" s="191" t="e">
        <f ca="1">_xll.BDP($BE34,CB$6,"BEST_FPERIOD_OVERRIDE",CB$5,"BEST_DATA_SOURCE_OVERRIDE","BST","BEST_CONSOLIDATED_OVERRIDE","C")</f>
        <v>#NAME?</v>
      </c>
      <c r="CC34" s="191" t="e">
        <f ca="1">_xll.BDP($BE34,CC$6,"BEST_FPERIOD_OVERRIDE",CC$5,"BEST_DATA_SOURCE_OVERRIDE","BST","BEST_CONSOLIDATED_OVERRIDE","C")</f>
        <v>#NAME?</v>
      </c>
      <c r="CD34" s="191" t="e">
        <f ca="1">_xll.BDP($BE34,CD$6,"BEST_FPERIOD_OVERRIDE",CD$5,"BEST_DATA_SOURCE_OVERRIDE","BST","BEST_CONSOLIDATED_OVERRIDE","C")</f>
        <v>#NAME?</v>
      </c>
      <c r="CE34" s="191" t="e">
        <f ca="1">_xll.BDP($BE34,CE$6,"BEST_FPERIOD_OVERRIDE",CE$5,"BEST_DATA_SOURCE_OVERRIDE","BST","BEST_CONSOLIDATED_OVERRIDE","C")</f>
        <v>#NAME?</v>
      </c>
      <c r="CF34" s="191" t="e">
        <f ca="1">_xll.BDP($BE34,CF$6,"BEST_FPERIOD_OVERRIDE",CF$5,"BEST_DATA_SOURCE_OVERRIDE","BST","BEST_CONSOLIDATED_OVERRIDE","C")</f>
        <v>#NAME?</v>
      </c>
      <c r="CG34" s="191" t="e">
        <f ca="1">_xll.BDP($BE34,CG$6,"BEST_FPERIOD_OVERRIDE",CG$5,"BEST_DATA_SOURCE_OVERRIDE","BST","BEST_CONSOLIDATED_OVERRIDE","C")</f>
        <v>#NAME?</v>
      </c>
      <c r="CH34" s="191"/>
      <c r="CI34" s="192" t="e">
        <f ca="1">_xll.BDP($BE34,CI$6,"BEST_FPERIOD_OVERRIDE",CI$5,"BEST_DATA_SOURCE_OVERRIDE","BST","BEST_CONSOLIDATED_OVERRIDE","C")</f>
        <v>#NAME?</v>
      </c>
      <c r="CJ34" s="192" t="e">
        <f ca="1">_xll.BDP($BE34,CJ$6,"BEST_FPERIOD_OVERRIDE",CJ$5,"BEST_DATA_SOURCE_OVERRIDE","BST","BEST_CONSOLIDATED_OVERRIDE","C")</f>
        <v>#NAME?</v>
      </c>
      <c r="CK34" s="192" t="e">
        <f ca="1">_xll.BDP($BE34,CK$6,"BEST_FPERIOD_OVERRIDE",CK$5,"BEST_DATA_SOURCE_OVERRIDE","BST","BEST_CONSOLIDATED_OVERRIDE","C")</f>
        <v>#NAME?</v>
      </c>
      <c r="CL34" s="192" t="e">
        <f ca="1">_xll.BDP($BE34,CL$6,"BEST_FPERIOD_OVERRIDE",CL$5,"BEST_DATA_SOURCE_OVERRIDE","BST","BEST_CONSOLIDATED_OVERRIDE","C")</f>
        <v>#NAME?</v>
      </c>
      <c r="CM34" s="192" t="e">
        <f ca="1">_xll.BDP($BE34,CM$6,"BEST_FPERIOD_OVERRIDE",CM$5,"BEST_DATA_SOURCE_OVERRIDE","BST","BEST_CONSOLIDATED_OVERRIDE","C")</f>
        <v>#NAME?</v>
      </c>
      <c r="CN34" s="192" t="e">
        <f ca="1">_xll.BDP($BE34,CN$6,"BEST_FPERIOD_OVERRIDE",CN$5,"BEST_DATA_SOURCE_OVERRIDE","BST","BEST_CONSOLIDATED_OVERRIDE","C")</f>
        <v>#NAME?</v>
      </c>
      <c r="CO34" s="192" t="e">
        <f ca="1">_xll.BDP($BE34,CO$6,"BEST_FPERIOD_OVERRIDE",CO$5,"BEST_DATA_SOURCE_OVERRIDE","BST","BEST_CONSOLIDATED_OVERRIDE","C")</f>
        <v>#NAME?</v>
      </c>
      <c r="CP34" s="192" t="e">
        <f ca="1">_xll.BDP($BE34,CP$6,"BEST_FPERIOD_OVERRIDE",CP$5,"BEST_DATA_SOURCE_OVERRIDE","BST","BEST_CONSOLIDATED_OVERRIDE","C")</f>
        <v>#NAME?</v>
      </c>
      <c r="CQ34" s="192" t="e">
        <f ca="1">_xll.BDP($BE34,CQ$6,"BEST_FPERIOD_OVERRIDE",CQ$5,"BEST_DATA_SOURCE_OVERRIDE","BST","BEST_CONSOLIDATED_OVERRIDE","C")</f>
        <v>#NAME?</v>
      </c>
      <c r="CR34" s="192" t="e">
        <f ca="1">_xll.BDP($BE34,CR$6,"BEST_FPERIOD_OVERRIDE",CR$5,"BEST_DATA_SOURCE_OVERRIDE","BST","BEST_CONSOLIDATED_OVERRIDE","C")</f>
        <v>#NAME?</v>
      </c>
      <c r="CS34" s="192" t="e">
        <f ca="1">_xll.BDP($BE34,CS$6,"BEST_FPERIOD_OVERRIDE",CS$5,"BEST_DATA_SOURCE_OVERRIDE","BST","BEST_CONSOLIDATED_OVERRIDE","C")</f>
        <v>#NAME?</v>
      </c>
      <c r="CT34" s="192" t="e">
        <f ca="1">_xll.BDP($BE34,CT$6,"BEST_FPERIOD_OVERRIDE",CT$5,"BEST_DATA_SOURCE_OVERRIDE","BST","BEST_CONSOLIDATED_OVERRIDE","C")</f>
        <v>#NAME?</v>
      </c>
    </row>
    <row r="35" spans="1:98" s="225" customFormat="1" ht="16.5" outlineLevel="1">
      <c r="A35" s="177" t="e">
        <f t="shared" ca="1" si="47"/>
        <v>#NAME?</v>
      </c>
      <c r="B35" s="178" t="e">
        <f ca="1">_xll.BDP(TEXT($F35,)&amp;" equity",TEXT($B$7,))</f>
        <v>#NAME?</v>
      </c>
      <c r="C35" s="178" t="s">
        <v>199</v>
      </c>
      <c r="D35" s="178" t="e">
        <f ca="1">_xll.BDP(TEXT($B35,)&amp;" Curncy",TEXT($D$7,))</f>
        <v>#NAME?</v>
      </c>
      <c r="E35" s="252" t="e">
        <f ca="1">_xll.BDP(TEXT(BloombergCode,)&amp;" equity","LONG_COMP_NAME")</f>
        <v>#NAME?</v>
      </c>
      <c r="F35" s="253" t="s">
        <v>264</v>
      </c>
      <c r="G35" s="254" t="e">
        <f t="shared" ca="1" si="48"/>
        <v>#NAME?</v>
      </c>
      <c r="H35" s="255" t="e">
        <f t="shared" ca="1" si="49"/>
        <v>#NAME?</v>
      </c>
      <c r="I35" s="256" t="e">
        <f t="shared" ca="1" si="68"/>
        <v>#NAME?</v>
      </c>
      <c r="J35" s="256" t="e">
        <f t="shared" ca="1" si="68"/>
        <v>#NAME?</v>
      </c>
      <c r="K35" s="256" t="e">
        <f t="shared" ca="1" si="68"/>
        <v>#NAME?</v>
      </c>
      <c r="L35" s="256" t="e">
        <f t="shared" ca="1" si="68"/>
        <v>#NAME?</v>
      </c>
      <c r="M35" s="256" t="e">
        <f t="shared" ca="1" si="68"/>
        <v>#NAME?</v>
      </c>
      <c r="N35" s="256" t="e">
        <f t="shared" ca="1" si="68"/>
        <v>#NAME?</v>
      </c>
      <c r="O35" s="256" t="e">
        <f t="shared" ca="1" si="68"/>
        <v>#NAME?</v>
      </c>
      <c r="P35" s="256" t="e">
        <f t="shared" ca="1" si="68"/>
        <v>#NAME?</v>
      </c>
      <c r="Q35" s="256" t="e">
        <f t="shared" ca="1" si="68"/>
        <v>#NAME?</v>
      </c>
      <c r="R35" s="256" t="e">
        <f t="shared" ca="1" si="68"/>
        <v>#NAME?</v>
      </c>
      <c r="S35" s="257" t="e">
        <f t="shared" ca="1" si="61"/>
        <v>#NAME?</v>
      </c>
      <c r="T35" s="256" t="e">
        <f t="shared" ca="1" si="62"/>
        <v>#NAME?</v>
      </c>
      <c r="U35" s="256" t="e">
        <f t="shared" ca="1" si="63"/>
        <v>#NAME?</v>
      </c>
      <c r="V35" s="256" t="e">
        <f t="shared" ca="1" si="64"/>
        <v>#NAME?</v>
      </c>
      <c r="W35" s="256" t="e">
        <f t="shared" ca="1" si="65"/>
        <v>#NAME?</v>
      </c>
      <c r="X35" s="256" t="e">
        <f t="shared" ca="1" si="66"/>
        <v>#NAME?</v>
      </c>
      <c r="Y35" s="256" t="e">
        <f t="shared" ca="1" si="67"/>
        <v>#NAME?</v>
      </c>
      <c r="Z35" s="256" t="e">
        <f t="shared" ca="1" si="67"/>
        <v>#NAME?</v>
      </c>
      <c r="AA35" s="256" t="e">
        <f t="shared" ca="1" si="67"/>
        <v>#NAME?</v>
      </c>
      <c r="AB35" s="256" t="e">
        <f t="shared" ca="1" si="67"/>
        <v>#NAME?</v>
      </c>
      <c r="AC35" s="250" t="e">
        <f t="shared" ca="1" si="52"/>
        <v>#NAME?</v>
      </c>
      <c r="AD35" s="251" t="e">
        <f t="shared" ca="1" si="53"/>
        <v>#NAME?</v>
      </c>
      <c r="AE35" s="251" t="e">
        <f t="shared" ca="1" si="54"/>
        <v>#NAME?</v>
      </c>
      <c r="AF35" s="251" t="e">
        <f t="shared" ca="1" si="55"/>
        <v>#NAME?</v>
      </c>
      <c r="AG35" s="251" t="e">
        <f t="shared" ca="1" si="56"/>
        <v>#NAME?</v>
      </c>
      <c r="AH35" s="251" t="e">
        <f t="shared" ca="1" si="57"/>
        <v>#NAME?</v>
      </c>
      <c r="AI35" s="251" t="e">
        <f t="shared" ca="1" si="58"/>
        <v>#NAME?</v>
      </c>
      <c r="AJ35" s="251" t="e">
        <f t="shared" ca="1" si="58"/>
        <v>#NAME?</v>
      </c>
      <c r="AK35" s="251" t="e">
        <f t="shared" ca="1" si="58"/>
        <v>#NAME?</v>
      </c>
      <c r="AL35" s="251" t="e">
        <f t="shared" ca="1" si="58"/>
        <v>#NAME?</v>
      </c>
      <c r="AM35" s="175"/>
      <c r="AN35" s="148" t="e">
        <f t="shared" ca="1" si="59"/>
        <v>#NAME?</v>
      </c>
      <c r="AO35" s="222"/>
      <c r="AP35" s="187" t="s">
        <v>211</v>
      </c>
      <c r="AQ35" s="136" t="s">
        <v>212</v>
      </c>
      <c r="AR35" s="188" t="e">
        <f ca="1">IF(LEFT(_xll.BDP(TEXT(BloombergCode,)&amp;" equity",TEXT(BloombergItem,)),1)="#",AV35,_xll.BDP(TEXT(BloombergCode,)&amp;" equity",TEXT(BloombergItem,)))</f>
        <v>#NAME?</v>
      </c>
      <c r="AS35" s="138" t="e">
        <f ca="1">IF(LEFT(_xll.BDP(AR35&amp;" Curncy",TEXT(BloombergItem,)),1)="#",AW35,_xll.BDP(AR35&amp;" Curncy",TEXT(BloombergItem,)))</f>
        <v>#NAME?</v>
      </c>
      <c r="AT35" s="138" t="e">
        <f ca="1">VLOOKUP('Global Properties'!$AR35,#REF!,2,0)</f>
        <v>#NAME?</v>
      </c>
      <c r="AU35" s="189" t="e">
        <f ca="1">_xll.BDP(AR35&amp;" Curncy",TEXT(BloombergItem,))</f>
        <v>#NAME?</v>
      </c>
      <c r="AV35" s="190" t="e">
        <f ca="1">_xll.BDP(TEXT(BloombergCode,)&amp;" equity",TEXT(BloombergItem,))</f>
        <v>#NAME?</v>
      </c>
      <c r="AW35" s="189" t="e">
        <f ca="1">_xll.BDP(AV35&amp;" Curncy",TEXT(BloombergItem,))</f>
        <v>#NAME?</v>
      </c>
      <c r="AX35" s="138" t="e">
        <f ca="1">VLOOKUP('Global Properties'!$AV35,#REF!,2,0)</f>
        <v>#NAME?</v>
      </c>
      <c r="AY35" s="223" t="e">
        <f ca="1">_xll.BDP(TEXT(BloombergCode,)&amp;" equity",TEXT(BloombergItem,))</f>
        <v>#NAME?</v>
      </c>
      <c r="AZ35" s="223" t="e">
        <f ca="1">_xll.BDP(TEXT(BloombergCode,)&amp;" equity",TEXT(BloombergItem,))</f>
        <v>#NAME?</v>
      </c>
      <c r="BA35" s="224" t="e">
        <f ca="1">_xll.BDP(TEXT(BloombergCode,)&amp;" equity",TEXT(BloombergItem,))</f>
        <v>#NAME?</v>
      </c>
      <c r="BB35" s="224" t="e">
        <f ca="1">_xll.BDP(TEXT(BloombergCode,)&amp;" equity",TEXT(BloombergItem,))</f>
        <v>#NAME?</v>
      </c>
      <c r="BC35" s="224" t="e">
        <f ca="1">_xll.BDP(TEXT(BloombergCode,)&amp;" equity",TEXT(BloombergItem,))</f>
        <v>#NAME?</v>
      </c>
      <c r="BD35" s="190"/>
      <c r="BE35" s="139" t="str">
        <f t="shared" si="60"/>
        <v>SCG AU equity</v>
      </c>
      <c r="BF35" s="139"/>
      <c r="BG35" s="178"/>
      <c r="BH35" s="191"/>
      <c r="BI35" s="191" t="e">
        <f ca="1">_xll.BDP($BE35,BI$6,"BEST_FPERIOD_OVERRIDE",BI$5,"BEST_DATA_SOURCE_OVERRIDE","BST","BEST_CONSOLIDATED_OVERRIDE","C")</f>
        <v>#NAME?</v>
      </c>
      <c r="BJ35" s="191" t="e">
        <f ca="1">_xll.BDP($BE35,BJ$6,"BEST_FPERIOD_OVERRIDE",BJ$5,"BEST_DATA_SOURCE_OVERRIDE","BST","BEST_CONSOLIDATED_OVERRIDE","C")</f>
        <v>#NAME?</v>
      </c>
      <c r="BK35" s="191" t="e">
        <f ca="1">_xll.BDP($BE35,BK$6,"BEST_FPERIOD_OVERRIDE",BK$5,"BEST_DATA_SOURCE_OVERRIDE","BST","BEST_CONSOLIDATED_OVERRIDE","C")</f>
        <v>#NAME?</v>
      </c>
      <c r="BL35" s="191" t="e">
        <f ca="1">_xll.BDP($BE35,BL$6,"BEST_FPERIOD_OVERRIDE",BL$5,"BEST_DATA_SOURCE_OVERRIDE","BST","BEST_CONSOLIDATED_OVERRIDE","C")</f>
        <v>#NAME?</v>
      </c>
      <c r="BM35" s="191" t="e">
        <f ca="1">_xll.BDP($BE35,BM$6,"BEST_FPERIOD_OVERRIDE",BM$5,"BEST_DATA_SOURCE_OVERRIDE","BST","BEST_CONSOLIDATED_OVERRIDE","C")</f>
        <v>#NAME?</v>
      </c>
      <c r="BN35" s="191" t="e">
        <f ca="1">_xll.BDP($BE35,BN$6,"BEST_FPERIOD_OVERRIDE",BN$5,"BEST_DATA_SOURCE_OVERRIDE","BST","BEST_CONSOLIDATED_OVERRIDE","C")</f>
        <v>#NAME?</v>
      </c>
      <c r="BO35" s="191" t="e">
        <f ca="1">_xll.BDP($BE35,BO$6,"BEST_FPERIOD_OVERRIDE",BO$5,"BEST_DATA_SOURCE_OVERRIDE","BST","BEST_CONSOLIDATED_OVERRIDE","C")</f>
        <v>#NAME?</v>
      </c>
      <c r="BP35" s="191" t="e">
        <f ca="1">_xll.BDP($BE35,BP$6,"BEST_FPERIOD_OVERRIDE",BP$5,"BEST_DATA_SOURCE_OVERRIDE","BST","BEST_CONSOLIDATED_OVERRIDE","C")</f>
        <v>#NAME?</v>
      </c>
      <c r="BQ35" s="191" t="e">
        <f ca="1">_xll.BDP($BE35,BQ$6,"BEST_FPERIOD_OVERRIDE",BQ$5,"BEST_DATA_SOURCE_OVERRIDE","BST","BEST_CONSOLIDATED_OVERRIDE","C")</f>
        <v>#NAME?</v>
      </c>
      <c r="BR35" s="191" t="e">
        <f ca="1">_xll.BDP($BE35,BR$6,"BEST_FPERIOD_OVERRIDE",BR$5,"BEST_DATA_SOURCE_OVERRIDE","BST","BEST_CONSOLIDATED_OVERRIDE","C")</f>
        <v>#NAME?</v>
      </c>
      <c r="BS35" s="191" t="e">
        <f ca="1">_xll.BDP($BE35,BS$6,"BEST_FPERIOD_OVERRIDE",BS$5,"BEST_DATA_SOURCE_OVERRIDE","BST","BEST_CONSOLIDATED_OVERRIDE","C")</f>
        <v>#NAME?</v>
      </c>
      <c r="BT35" s="191" t="e">
        <f ca="1">_xll.BDP($BE35,BT$6,"BEST_FPERIOD_OVERRIDE",BT$5,"BEST_DATA_SOURCE_OVERRIDE","BST","BEST_CONSOLIDATED_OVERRIDE","C")</f>
        <v>#NAME?</v>
      </c>
      <c r="BU35" s="178"/>
      <c r="BV35" s="191" t="e">
        <f ca="1">_xll.BDP($BE35,BV$6,"BEST_FPERIOD_OVERRIDE",BV$5,"BEST_DATA_SOURCE_OVERRIDE","BST","BEST_CONSOLIDATED_OVERRIDE","C")</f>
        <v>#NAME?</v>
      </c>
      <c r="BW35" s="191" t="e">
        <f ca="1">_xll.BDP($BE35,BW$6,"BEST_FPERIOD_OVERRIDE",BW$5,"BEST_DATA_SOURCE_OVERRIDE","BST","BEST_CONSOLIDATED_OVERRIDE","C")</f>
        <v>#NAME?</v>
      </c>
      <c r="BX35" s="191" t="e">
        <f ca="1">_xll.BDP($BE35,BX$6,"BEST_FPERIOD_OVERRIDE",BX$5,"BEST_DATA_SOURCE_OVERRIDE","BST","BEST_CONSOLIDATED_OVERRIDE","C")</f>
        <v>#NAME?</v>
      </c>
      <c r="BY35" s="191" t="e">
        <f ca="1">_xll.BDP($BE35,BY$6,"BEST_FPERIOD_OVERRIDE",BY$5,"BEST_DATA_SOURCE_OVERRIDE","BST","BEST_CONSOLIDATED_OVERRIDE","C")</f>
        <v>#NAME?</v>
      </c>
      <c r="BZ35" s="191" t="e">
        <f ca="1">_xll.BDP($BE35,BZ$6,"BEST_FPERIOD_OVERRIDE",BZ$5,"BEST_DATA_SOURCE_OVERRIDE","BST","BEST_CONSOLIDATED_OVERRIDE","C")</f>
        <v>#NAME?</v>
      </c>
      <c r="CA35" s="191" t="e">
        <f ca="1">_xll.BDP($BE35,CA$6,"BEST_FPERIOD_OVERRIDE",CA$5,"BEST_DATA_SOURCE_OVERRIDE","BST","BEST_CONSOLIDATED_OVERRIDE","C")</f>
        <v>#NAME?</v>
      </c>
      <c r="CB35" s="191" t="e">
        <f ca="1">_xll.BDP($BE35,CB$6,"BEST_FPERIOD_OVERRIDE",CB$5,"BEST_DATA_SOURCE_OVERRIDE","BST","BEST_CONSOLIDATED_OVERRIDE","C")</f>
        <v>#NAME?</v>
      </c>
      <c r="CC35" s="191" t="e">
        <f ca="1">_xll.BDP($BE35,CC$6,"BEST_FPERIOD_OVERRIDE",CC$5,"BEST_DATA_SOURCE_OVERRIDE","BST","BEST_CONSOLIDATED_OVERRIDE","C")</f>
        <v>#NAME?</v>
      </c>
      <c r="CD35" s="191" t="e">
        <f ca="1">_xll.BDP($BE35,CD$6,"BEST_FPERIOD_OVERRIDE",CD$5,"BEST_DATA_SOURCE_OVERRIDE","BST","BEST_CONSOLIDATED_OVERRIDE","C")</f>
        <v>#NAME?</v>
      </c>
      <c r="CE35" s="191" t="e">
        <f ca="1">_xll.BDP($BE35,CE$6,"BEST_FPERIOD_OVERRIDE",CE$5,"BEST_DATA_SOURCE_OVERRIDE","BST","BEST_CONSOLIDATED_OVERRIDE","C")</f>
        <v>#NAME?</v>
      </c>
      <c r="CF35" s="191" t="e">
        <f ca="1">_xll.BDP($BE35,CF$6,"BEST_FPERIOD_OVERRIDE",CF$5,"BEST_DATA_SOURCE_OVERRIDE","BST","BEST_CONSOLIDATED_OVERRIDE","C")</f>
        <v>#NAME?</v>
      </c>
      <c r="CG35" s="191" t="e">
        <f ca="1">_xll.BDP($BE35,CG$6,"BEST_FPERIOD_OVERRIDE",CG$5,"BEST_DATA_SOURCE_OVERRIDE","BST","BEST_CONSOLIDATED_OVERRIDE","C")</f>
        <v>#NAME?</v>
      </c>
      <c r="CH35" s="191"/>
      <c r="CI35" s="192" t="e">
        <f ca="1">_xll.BDP($BE35,CI$6,"BEST_FPERIOD_OVERRIDE",CI$5,"BEST_DATA_SOURCE_OVERRIDE","BST","BEST_CONSOLIDATED_OVERRIDE","C")</f>
        <v>#NAME?</v>
      </c>
      <c r="CJ35" s="192" t="e">
        <f ca="1">_xll.BDP($BE35,CJ$6,"BEST_FPERIOD_OVERRIDE",CJ$5,"BEST_DATA_SOURCE_OVERRIDE","BST","BEST_CONSOLIDATED_OVERRIDE","C")</f>
        <v>#NAME?</v>
      </c>
      <c r="CK35" s="192" t="e">
        <f ca="1">_xll.BDP($BE35,CK$6,"BEST_FPERIOD_OVERRIDE",CK$5,"BEST_DATA_SOURCE_OVERRIDE","BST","BEST_CONSOLIDATED_OVERRIDE","C")</f>
        <v>#NAME?</v>
      </c>
      <c r="CL35" s="192" t="e">
        <f ca="1">_xll.BDP($BE35,CL$6,"BEST_FPERIOD_OVERRIDE",CL$5,"BEST_DATA_SOURCE_OVERRIDE","BST","BEST_CONSOLIDATED_OVERRIDE","C")</f>
        <v>#NAME?</v>
      </c>
      <c r="CM35" s="192" t="e">
        <f ca="1">_xll.BDP($BE35,CM$6,"BEST_FPERIOD_OVERRIDE",CM$5,"BEST_DATA_SOURCE_OVERRIDE","BST","BEST_CONSOLIDATED_OVERRIDE","C")</f>
        <v>#NAME?</v>
      </c>
      <c r="CN35" s="192" t="e">
        <f ca="1">_xll.BDP($BE35,CN$6,"BEST_FPERIOD_OVERRIDE",CN$5,"BEST_DATA_SOURCE_OVERRIDE","BST","BEST_CONSOLIDATED_OVERRIDE","C")</f>
        <v>#NAME?</v>
      </c>
      <c r="CO35" s="192" t="e">
        <f ca="1">_xll.BDP($BE35,CO$6,"BEST_FPERIOD_OVERRIDE",CO$5,"BEST_DATA_SOURCE_OVERRIDE","BST","BEST_CONSOLIDATED_OVERRIDE","C")</f>
        <v>#NAME?</v>
      </c>
      <c r="CP35" s="192" t="e">
        <f ca="1">_xll.BDP($BE35,CP$6,"BEST_FPERIOD_OVERRIDE",CP$5,"BEST_DATA_SOURCE_OVERRIDE","BST","BEST_CONSOLIDATED_OVERRIDE","C")</f>
        <v>#NAME?</v>
      </c>
      <c r="CQ35" s="192" t="e">
        <f ca="1">_xll.BDP($BE35,CQ$6,"BEST_FPERIOD_OVERRIDE",CQ$5,"BEST_DATA_SOURCE_OVERRIDE","BST","BEST_CONSOLIDATED_OVERRIDE","C")</f>
        <v>#NAME?</v>
      </c>
      <c r="CR35" s="192" t="e">
        <f ca="1">_xll.BDP($BE35,CR$6,"BEST_FPERIOD_OVERRIDE",CR$5,"BEST_DATA_SOURCE_OVERRIDE","BST","BEST_CONSOLIDATED_OVERRIDE","C")</f>
        <v>#NAME?</v>
      </c>
      <c r="CS35" s="192" t="e">
        <f ca="1">_xll.BDP($BE35,CS$6,"BEST_FPERIOD_OVERRIDE",CS$5,"BEST_DATA_SOURCE_OVERRIDE","BST","BEST_CONSOLIDATED_OVERRIDE","C")</f>
        <v>#NAME?</v>
      </c>
      <c r="CT35" s="192" t="e">
        <f ca="1">_xll.BDP($BE35,CT$6,"BEST_FPERIOD_OVERRIDE",CT$5,"BEST_DATA_SOURCE_OVERRIDE","BST","BEST_CONSOLIDATED_OVERRIDE","C")</f>
        <v>#NAME?</v>
      </c>
    </row>
    <row r="36" spans="1:98" s="178" customFormat="1" ht="16.5">
      <c r="A36" s="177" t="e">
        <f t="shared" ca="1" si="47"/>
        <v>#NAME?</v>
      </c>
      <c r="B36" s="178" t="e">
        <f ca="1">_xll.BDP(TEXT($F36,)&amp;" equity",TEXT($B$7,))</f>
        <v>#NAME?</v>
      </c>
      <c r="C36" s="178" t="s">
        <v>214</v>
      </c>
      <c r="D36" s="178" t="e">
        <f ca="1">_xll.BDP(TEXT($B36,)&amp;" Curncy",TEXT($D$7,))</f>
        <v>#NAME?</v>
      </c>
      <c r="E36" s="179" t="e">
        <f ca="1">_xll.BDP(TEXT(BloombergCode,)&amp;" equity","LONG_COMP_NAME")</f>
        <v>#NAME?</v>
      </c>
      <c r="F36" s="180" t="s">
        <v>263</v>
      </c>
      <c r="G36" s="213" t="e">
        <f t="shared" ca="1" si="48"/>
        <v>#NAME?</v>
      </c>
      <c r="H36" s="214" t="e">
        <f t="shared" ca="1" si="49"/>
        <v>#NAME?</v>
      </c>
      <c r="I36" s="183" t="e">
        <f t="shared" ref="I36:R37" ca="1" si="69">BX36</f>
        <v>#NAME?</v>
      </c>
      <c r="J36" s="183" t="e">
        <f t="shared" ca="1" si="69"/>
        <v>#NAME?</v>
      </c>
      <c r="K36" s="183" t="e">
        <f t="shared" ca="1" si="69"/>
        <v>#NAME?</v>
      </c>
      <c r="L36" s="183" t="e">
        <f t="shared" ca="1" si="69"/>
        <v>#NAME?</v>
      </c>
      <c r="M36" s="183" t="e">
        <f t="shared" ca="1" si="69"/>
        <v>#NAME?</v>
      </c>
      <c r="N36" s="183" t="e">
        <f t="shared" ca="1" si="69"/>
        <v>#NAME?</v>
      </c>
      <c r="O36" s="183" t="e">
        <f t="shared" ca="1" si="69"/>
        <v>#NAME?</v>
      </c>
      <c r="P36" s="183" t="e">
        <f t="shared" ca="1" si="69"/>
        <v>#NAME?</v>
      </c>
      <c r="Q36" s="183" t="e">
        <f t="shared" ca="1" si="69"/>
        <v>#NAME?</v>
      </c>
      <c r="R36" s="183" t="e">
        <f t="shared" ca="1" si="69"/>
        <v>#NAME?</v>
      </c>
      <c r="S36" s="184" t="e">
        <f t="shared" ca="1" si="61"/>
        <v>#NAME?</v>
      </c>
      <c r="T36" s="183" t="e">
        <f t="shared" ca="1" si="62"/>
        <v>#NAME?</v>
      </c>
      <c r="U36" s="183" t="e">
        <f t="shared" ca="1" si="63"/>
        <v>#NAME?</v>
      </c>
      <c r="V36" s="183" t="e">
        <f t="shared" ca="1" si="64"/>
        <v>#NAME?</v>
      </c>
      <c r="W36" s="183" t="e">
        <f t="shared" ca="1" si="65"/>
        <v>#NAME?</v>
      </c>
      <c r="X36" s="183" t="e">
        <f t="shared" ca="1" si="66"/>
        <v>#NAME?</v>
      </c>
      <c r="Y36" s="183" t="e">
        <f t="shared" ca="1" si="67"/>
        <v>#NAME?</v>
      </c>
      <c r="Z36" s="183" t="e">
        <f t="shared" ca="1" si="67"/>
        <v>#NAME?</v>
      </c>
      <c r="AA36" s="183" t="e">
        <f t="shared" ca="1" si="67"/>
        <v>#NAME?</v>
      </c>
      <c r="AB36" s="183" t="e">
        <f t="shared" ca="1" si="67"/>
        <v>#NAME?</v>
      </c>
      <c r="AC36" s="261" t="e">
        <f t="shared" ca="1" si="52"/>
        <v>#NAME?</v>
      </c>
      <c r="AD36" s="262" t="e">
        <f t="shared" ca="1" si="53"/>
        <v>#NAME?</v>
      </c>
      <c r="AE36" s="262" t="e">
        <f t="shared" ca="1" si="54"/>
        <v>#NAME?</v>
      </c>
      <c r="AF36" s="262" t="e">
        <f t="shared" ca="1" si="55"/>
        <v>#NAME?</v>
      </c>
      <c r="AG36" s="262" t="e">
        <f t="shared" ca="1" si="56"/>
        <v>#NAME?</v>
      </c>
      <c r="AH36" s="262" t="e">
        <f t="shared" ca="1" si="57"/>
        <v>#NAME?</v>
      </c>
      <c r="AI36" s="262" t="e">
        <f t="shared" ca="1" si="58"/>
        <v>#NAME?</v>
      </c>
      <c r="AJ36" s="262" t="e">
        <f t="shared" ca="1" si="58"/>
        <v>#NAME?</v>
      </c>
      <c r="AK36" s="262" t="e">
        <f t="shared" ca="1" si="58"/>
        <v>#NAME?</v>
      </c>
      <c r="AL36" s="262" t="e">
        <f t="shared" ca="1" si="58"/>
        <v>#NAME?</v>
      </c>
      <c r="AM36" s="175"/>
      <c r="AN36" s="148" t="e">
        <f t="shared" ca="1" si="59"/>
        <v>#NAME?</v>
      </c>
      <c r="AO36" s="136"/>
      <c r="AP36" s="187" t="s">
        <v>216</v>
      </c>
      <c r="AQ36" s="136" t="s">
        <v>217</v>
      </c>
      <c r="AR36" s="188" t="e">
        <f ca="1">IF(LEFT(_xll.BDP(TEXT(BloombergCode,)&amp;" equity",TEXT(BloombergItem,)),1)="#",AV36,_xll.BDP(TEXT(BloombergCode,)&amp;" equity",TEXT(BloombergItem,)))</f>
        <v>#NAME?</v>
      </c>
      <c r="AS36" s="138" t="e">
        <f ca="1">IF(LEFT(_xll.BDP(AR36&amp;" Curncy",TEXT(BloombergItem,)),1)="#",AW36,_xll.BDP(AR36&amp;" Curncy",TEXT(BloombergItem,)))</f>
        <v>#NAME?</v>
      </c>
      <c r="AT36" s="138" t="e">
        <f ca="1">VLOOKUP('Global Properties'!$AR36,#REF!,2,0)</f>
        <v>#NAME?</v>
      </c>
      <c r="AU36" s="189" t="e">
        <f ca="1">_xll.BDP(AR36&amp;" Curncy",TEXT(BloombergItem,))</f>
        <v>#NAME?</v>
      </c>
      <c r="AV36" s="190" t="e">
        <f ca="1">_xll.BDP(TEXT(BloombergCode,)&amp;" equity",TEXT(BloombergItem,))</f>
        <v>#NAME?</v>
      </c>
      <c r="AW36" s="189" t="e">
        <f ca="1">_xll.BDP(AV36&amp;" Curncy",TEXT(BloombergItem,))</f>
        <v>#NAME?</v>
      </c>
      <c r="AX36" s="138" t="e">
        <f ca="1">VLOOKUP('Global Properties'!$AV36,#REF!,2,0)</f>
        <v>#NAME?</v>
      </c>
      <c r="AY36" s="219" t="e">
        <f ca="1">_xll.BDP(TEXT(BloombergCode,)&amp;" equity",TEXT(BloombergItem,))</f>
        <v>#NAME?</v>
      </c>
      <c r="AZ36" s="219" t="e">
        <f ca="1">_xll.BDP(TEXT(BloombergCode,)&amp;" equity",TEXT(BloombergItem,))</f>
        <v>#NAME?</v>
      </c>
      <c r="BA36" s="220" t="e">
        <f ca="1">_xll.BDP(TEXT(BloombergCode,)&amp;" equity",TEXT(BloombergItem,))</f>
        <v>#NAME?</v>
      </c>
      <c r="BB36" s="220" t="e">
        <f ca="1">_xll.BDP(TEXT(BloombergCode,)&amp;" equity",TEXT(BloombergItem,))</f>
        <v>#NAME?</v>
      </c>
      <c r="BC36" s="220" t="e">
        <f ca="1">_xll.BDP(TEXT(BloombergCode,)&amp;" equity",TEXT(BloombergItem,))</f>
        <v>#NAME?</v>
      </c>
      <c r="BD36" s="190"/>
      <c r="BE36" s="139" t="str">
        <f t="shared" si="60"/>
        <v>WFD AU equity</v>
      </c>
      <c r="BF36" s="139"/>
      <c r="BH36" s="191"/>
      <c r="BI36" s="191" t="e">
        <f ca="1">_xll.BDP($BE36,BI$6,"BEST_FPERIOD_OVERRIDE",BI$5,"BEST_DATA_SOURCE_OVERRIDE","BST","BEST_CONSOLIDATED_OVERRIDE","C")</f>
        <v>#NAME?</v>
      </c>
      <c r="BJ36" s="191" t="e">
        <f ca="1">_xll.BDP($BE36,BJ$6,"BEST_FPERIOD_OVERRIDE",BJ$5,"BEST_DATA_SOURCE_OVERRIDE","BST","BEST_CONSOLIDATED_OVERRIDE","C")</f>
        <v>#NAME?</v>
      </c>
      <c r="BK36" s="191" t="e">
        <f ca="1">_xll.BDP($BE36,BK$6,"BEST_FPERIOD_OVERRIDE",BK$5,"BEST_DATA_SOURCE_OVERRIDE","BST","BEST_CONSOLIDATED_OVERRIDE","C")</f>
        <v>#NAME?</v>
      </c>
      <c r="BL36" s="191" t="e">
        <f ca="1">_xll.BDP($BE36,BL$6,"BEST_FPERIOD_OVERRIDE",BL$5,"BEST_DATA_SOURCE_OVERRIDE","BST","BEST_CONSOLIDATED_OVERRIDE","C")</f>
        <v>#NAME?</v>
      </c>
      <c r="BM36" s="191" t="e">
        <f ca="1">_xll.BDP($BE36,BM$6,"BEST_FPERIOD_OVERRIDE",BM$5,"BEST_DATA_SOURCE_OVERRIDE","BST","BEST_CONSOLIDATED_OVERRIDE","C")</f>
        <v>#NAME?</v>
      </c>
      <c r="BN36" s="191" t="e">
        <f ca="1">_xll.BDP($BE36,BN$6,"BEST_FPERIOD_OVERRIDE",BN$5,"BEST_DATA_SOURCE_OVERRIDE","BST","BEST_CONSOLIDATED_OVERRIDE","C")</f>
        <v>#NAME?</v>
      </c>
      <c r="BO36" s="191" t="e">
        <f ca="1">_xll.BDP($BE36,BO$6,"BEST_FPERIOD_OVERRIDE",BO$5,"BEST_DATA_SOURCE_OVERRIDE","BST","BEST_CONSOLIDATED_OVERRIDE","C")</f>
        <v>#NAME?</v>
      </c>
      <c r="BP36" s="191" t="e">
        <f ca="1">_xll.BDP($BE36,BP$6,"BEST_FPERIOD_OVERRIDE",BP$5,"BEST_DATA_SOURCE_OVERRIDE","BST","BEST_CONSOLIDATED_OVERRIDE","C")</f>
        <v>#NAME?</v>
      </c>
      <c r="BQ36" s="191" t="e">
        <f ca="1">_xll.BDP($BE36,BQ$6,"BEST_FPERIOD_OVERRIDE",BQ$5,"BEST_DATA_SOURCE_OVERRIDE","BST","BEST_CONSOLIDATED_OVERRIDE","C")</f>
        <v>#NAME?</v>
      </c>
      <c r="BR36" s="191" t="e">
        <f ca="1">_xll.BDP($BE36,BR$6,"BEST_FPERIOD_OVERRIDE",BR$5,"BEST_DATA_SOURCE_OVERRIDE","BST","BEST_CONSOLIDATED_OVERRIDE","C")</f>
        <v>#NAME?</v>
      </c>
      <c r="BS36" s="191" t="e">
        <f ca="1">_xll.BDP($BE36,BS$6,"BEST_FPERIOD_OVERRIDE",BS$5,"BEST_DATA_SOURCE_OVERRIDE","BST","BEST_CONSOLIDATED_OVERRIDE","C")</f>
        <v>#NAME?</v>
      </c>
      <c r="BT36" s="191" t="e">
        <f ca="1">_xll.BDP($BE36,BT$6,"BEST_FPERIOD_OVERRIDE",BT$5,"BEST_DATA_SOURCE_OVERRIDE","BST","BEST_CONSOLIDATED_OVERRIDE","C")</f>
        <v>#NAME?</v>
      </c>
      <c r="BV36" s="191" t="e">
        <f ca="1">_xll.BDP($BE36,BV$6,"BEST_FPERIOD_OVERRIDE",BV$5,"BEST_DATA_SOURCE_OVERRIDE","BST","BEST_CONSOLIDATED_OVERRIDE","C")</f>
        <v>#NAME?</v>
      </c>
      <c r="BW36" s="191" t="e">
        <f ca="1">_xll.BDP($BE36,BW$6,"BEST_FPERIOD_OVERRIDE",BW$5,"BEST_DATA_SOURCE_OVERRIDE","BST","BEST_CONSOLIDATED_OVERRIDE","C")</f>
        <v>#NAME?</v>
      </c>
      <c r="BX36" s="191" t="e">
        <f ca="1">_xll.BDP($BE36,BX$6,"BEST_FPERIOD_OVERRIDE",BX$5,"BEST_DATA_SOURCE_OVERRIDE","BST","BEST_CONSOLIDATED_OVERRIDE","C")</f>
        <v>#NAME?</v>
      </c>
      <c r="BY36" s="191" t="e">
        <f ca="1">_xll.BDP($BE36,BY$6,"BEST_FPERIOD_OVERRIDE",BY$5,"BEST_DATA_SOURCE_OVERRIDE","BST","BEST_CONSOLIDATED_OVERRIDE","C")</f>
        <v>#NAME?</v>
      </c>
      <c r="BZ36" s="191" t="e">
        <f ca="1">_xll.BDP($BE36,BZ$6,"BEST_FPERIOD_OVERRIDE",BZ$5,"BEST_DATA_SOURCE_OVERRIDE","BST","BEST_CONSOLIDATED_OVERRIDE","C")</f>
        <v>#NAME?</v>
      </c>
      <c r="CA36" s="191" t="e">
        <f ca="1">_xll.BDP($BE36,CA$6,"BEST_FPERIOD_OVERRIDE",CA$5,"BEST_DATA_SOURCE_OVERRIDE","BST","BEST_CONSOLIDATED_OVERRIDE","C")</f>
        <v>#NAME?</v>
      </c>
      <c r="CB36" s="191" t="e">
        <f ca="1">_xll.BDP($BE36,CB$6,"BEST_FPERIOD_OVERRIDE",CB$5,"BEST_DATA_SOURCE_OVERRIDE","BST","BEST_CONSOLIDATED_OVERRIDE","C")</f>
        <v>#NAME?</v>
      </c>
      <c r="CC36" s="191" t="e">
        <f ca="1">_xll.BDP($BE36,CC$6,"BEST_FPERIOD_OVERRIDE",CC$5,"BEST_DATA_SOURCE_OVERRIDE","BST","BEST_CONSOLIDATED_OVERRIDE","C")</f>
        <v>#NAME?</v>
      </c>
      <c r="CD36" s="191" t="e">
        <f ca="1">_xll.BDP($BE36,CD$6,"BEST_FPERIOD_OVERRIDE",CD$5,"BEST_DATA_SOURCE_OVERRIDE","BST","BEST_CONSOLIDATED_OVERRIDE","C")</f>
        <v>#NAME?</v>
      </c>
      <c r="CE36" s="191" t="e">
        <f ca="1">_xll.BDP($BE36,CE$6,"BEST_FPERIOD_OVERRIDE",CE$5,"BEST_DATA_SOURCE_OVERRIDE","BST","BEST_CONSOLIDATED_OVERRIDE","C")</f>
        <v>#NAME?</v>
      </c>
      <c r="CF36" s="191" t="e">
        <f ca="1">_xll.BDP($BE36,CF$6,"BEST_FPERIOD_OVERRIDE",CF$5,"BEST_DATA_SOURCE_OVERRIDE","BST","BEST_CONSOLIDATED_OVERRIDE","C")</f>
        <v>#NAME?</v>
      </c>
      <c r="CG36" s="191" t="e">
        <f ca="1">_xll.BDP($BE36,CG$6,"BEST_FPERIOD_OVERRIDE",CG$5,"BEST_DATA_SOURCE_OVERRIDE","BST","BEST_CONSOLIDATED_OVERRIDE","C")</f>
        <v>#NAME?</v>
      </c>
      <c r="CH36" s="191"/>
      <c r="CI36" s="192" t="e">
        <f ca="1">_xll.BDP($BE36,CI$6,"BEST_FPERIOD_OVERRIDE",CI$5,"BEST_DATA_SOURCE_OVERRIDE","BST","BEST_CONSOLIDATED_OVERRIDE","C")</f>
        <v>#NAME?</v>
      </c>
      <c r="CJ36" s="192" t="e">
        <f ca="1">_xll.BDP($BE36,CJ$6,"BEST_FPERIOD_OVERRIDE",CJ$5,"BEST_DATA_SOURCE_OVERRIDE","BST","BEST_CONSOLIDATED_OVERRIDE","C")</f>
        <v>#NAME?</v>
      </c>
      <c r="CK36" s="192" t="e">
        <f ca="1">_xll.BDP($BE36,CK$6,"BEST_FPERIOD_OVERRIDE",CK$5,"BEST_DATA_SOURCE_OVERRIDE","BST","BEST_CONSOLIDATED_OVERRIDE","C")</f>
        <v>#NAME?</v>
      </c>
      <c r="CL36" s="192" t="e">
        <f ca="1">_xll.BDP($BE36,CL$6,"BEST_FPERIOD_OVERRIDE",CL$5,"BEST_DATA_SOURCE_OVERRIDE","BST","BEST_CONSOLIDATED_OVERRIDE","C")</f>
        <v>#NAME?</v>
      </c>
      <c r="CM36" s="192" t="e">
        <f ca="1">_xll.BDP($BE36,CM$6,"BEST_FPERIOD_OVERRIDE",CM$5,"BEST_DATA_SOURCE_OVERRIDE","BST","BEST_CONSOLIDATED_OVERRIDE","C")</f>
        <v>#NAME?</v>
      </c>
      <c r="CN36" s="192" t="e">
        <f ca="1">_xll.BDP($BE36,CN$6,"BEST_FPERIOD_OVERRIDE",CN$5,"BEST_DATA_SOURCE_OVERRIDE","BST","BEST_CONSOLIDATED_OVERRIDE","C")</f>
        <v>#NAME?</v>
      </c>
      <c r="CO36" s="192" t="e">
        <f ca="1">_xll.BDP($BE36,CO$6,"BEST_FPERIOD_OVERRIDE",CO$5,"BEST_DATA_SOURCE_OVERRIDE","BST","BEST_CONSOLIDATED_OVERRIDE","C")</f>
        <v>#NAME?</v>
      </c>
      <c r="CP36" s="192" t="e">
        <f ca="1">_xll.BDP($BE36,CP$6,"BEST_FPERIOD_OVERRIDE",CP$5,"BEST_DATA_SOURCE_OVERRIDE","BST","BEST_CONSOLIDATED_OVERRIDE","C")</f>
        <v>#NAME?</v>
      </c>
      <c r="CQ36" s="192" t="e">
        <f ca="1">_xll.BDP($BE36,CQ$6,"BEST_FPERIOD_OVERRIDE",CQ$5,"BEST_DATA_SOURCE_OVERRIDE","BST","BEST_CONSOLIDATED_OVERRIDE","C")</f>
        <v>#NAME?</v>
      </c>
      <c r="CR36" s="192" t="e">
        <f ca="1">_xll.BDP($BE36,CR$6,"BEST_FPERIOD_OVERRIDE",CR$5,"BEST_DATA_SOURCE_OVERRIDE","BST","BEST_CONSOLIDATED_OVERRIDE","C")</f>
        <v>#NAME?</v>
      </c>
      <c r="CS36" s="192" t="e">
        <f ca="1">_xll.BDP($BE36,CS$6,"BEST_FPERIOD_OVERRIDE",CS$5,"BEST_DATA_SOURCE_OVERRIDE","BST","BEST_CONSOLIDATED_OVERRIDE","C")</f>
        <v>#NAME?</v>
      </c>
      <c r="CT36" s="192" t="e">
        <f ca="1">_xll.BDP($BE36,CT$6,"BEST_FPERIOD_OVERRIDE",CT$5,"BEST_DATA_SOURCE_OVERRIDE","BST","BEST_CONSOLIDATED_OVERRIDE","C")</f>
        <v>#NAME?</v>
      </c>
    </row>
    <row r="37" spans="1:98" s="225" customFormat="1" ht="16.5" outlineLevel="1">
      <c r="A37" s="177" t="e">
        <f t="shared" ca="1" si="47"/>
        <v>#NAME?</v>
      </c>
      <c r="B37" s="178" t="e">
        <f ca="1">_xll.BDP(TEXT($F37,)&amp;" equity",TEXT($B$7,))</f>
        <v>#NAME?</v>
      </c>
      <c r="C37" s="178" t="s">
        <v>199</v>
      </c>
      <c r="D37" s="178" t="e">
        <f ca="1">_xll.BDP(TEXT($B37,)&amp;" Curncy",TEXT($D$7,))</f>
        <v>#NAME?</v>
      </c>
      <c r="E37" s="252" t="e">
        <f ca="1">_xll.BDP(TEXT(BloombergCode,)&amp;" equity","LONG_COMP_NAME")</f>
        <v>#NAME?</v>
      </c>
      <c r="F37" s="253" t="s">
        <v>262</v>
      </c>
      <c r="G37" s="254" t="e">
        <f t="shared" ca="1" si="48"/>
        <v>#NAME?</v>
      </c>
      <c r="H37" s="255" t="e">
        <f t="shared" ca="1" si="49"/>
        <v>#NAME?</v>
      </c>
      <c r="I37" s="256" t="e">
        <f t="shared" ca="1" si="69"/>
        <v>#NAME?</v>
      </c>
      <c r="J37" s="256" t="e">
        <f t="shared" ca="1" si="69"/>
        <v>#NAME?</v>
      </c>
      <c r="K37" s="256" t="e">
        <f t="shared" ca="1" si="69"/>
        <v>#NAME?</v>
      </c>
      <c r="L37" s="256" t="e">
        <f t="shared" ca="1" si="69"/>
        <v>#NAME?</v>
      </c>
      <c r="M37" s="256" t="e">
        <f t="shared" ca="1" si="69"/>
        <v>#NAME?</v>
      </c>
      <c r="N37" s="256" t="e">
        <f t="shared" ca="1" si="69"/>
        <v>#NAME?</v>
      </c>
      <c r="O37" s="256" t="e">
        <f t="shared" ca="1" si="69"/>
        <v>#NAME?</v>
      </c>
      <c r="P37" s="256" t="e">
        <f t="shared" ca="1" si="69"/>
        <v>#NAME?</v>
      </c>
      <c r="Q37" s="256" t="e">
        <f t="shared" ca="1" si="69"/>
        <v>#NAME?</v>
      </c>
      <c r="R37" s="256" t="e">
        <f t="shared" ca="1" si="69"/>
        <v>#NAME?</v>
      </c>
      <c r="S37" s="257" t="e">
        <f t="shared" ca="1" si="61"/>
        <v>#NAME?</v>
      </c>
      <c r="T37" s="256" t="e">
        <f t="shared" ca="1" si="62"/>
        <v>#NAME?</v>
      </c>
      <c r="U37" s="256" t="e">
        <f t="shared" ca="1" si="63"/>
        <v>#NAME?</v>
      </c>
      <c r="V37" s="256" t="e">
        <f t="shared" ca="1" si="64"/>
        <v>#NAME?</v>
      </c>
      <c r="W37" s="256" t="e">
        <f t="shared" ca="1" si="65"/>
        <v>#NAME?</v>
      </c>
      <c r="X37" s="256" t="e">
        <f t="shared" ca="1" si="66"/>
        <v>#NAME?</v>
      </c>
      <c r="Y37" s="256" t="e">
        <f t="shared" ca="1" si="67"/>
        <v>#NAME?</v>
      </c>
      <c r="Z37" s="256" t="e">
        <f t="shared" ca="1" si="67"/>
        <v>#NAME?</v>
      </c>
      <c r="AA37" s="256" t="e">
        <f t="shared" ca="1" si="67"/>
        <v>#NAME?</v>
      </c>
      <c r="AB37" s="256" t="e">
        <f t="shared" ca="1" si="67"/>
        <v>#NAME?</v>
      </c>
      <c r="AC37" s="250" t="e">
        <f t="shared" ca="1" si="52"/>
        <v>#NAME?</v>
      </c>
      <c r="AD37" s="251" t="e">
        <f t="shared" ca="1" si="53"/>
        <v>#NAME?</v>
      </c>
      <c r="AE37" s="251" t="e">
        <f t="shared" ca="1" si="54"/>
        <v>#NAME?</v>
      </c>
      <c r="AF37" s="251" t="e">
        <f t="shared" ca="1" si="55"/>
        <v>#NAME?</v>
      </c>
      <c r="AG37" s="251" t="e">
        <f t="shared" ca="1" si="56"/>
        <v>#NAME?</v>
      </c>
      <c r="AH37" s="251" t="e">
        <f t="shared" ca="1" si="57"/>
        <v>#NAME?</v>
      </c>
      <c r="AI37" s="251" t="e">
        <f t="shared" ca="1" si="58"/>
        <v>#NAME?</v>
      </c>
      <c r="AJ37" s="251" t="e">
        <f t="shared" ca="1" si="58"/>
        <v>#NAME?</v>
      </c>
      <c r="AK37" s="251" t="e">
        <f t="shared" ca="1" si="58"/>
        <v>#NAME?</v>
      </c>
      <c r="AL37" s="251" t="e">
        <f t="shared" ca="1" si="58"/>
        <v>#NAME?</v>
      </c>
      <c r="AM37" s="175"/>
      <c r="AN37" s="148" t="e">
        <f t="shared" ca="1" si="59"/>
        <v>#NAME?</v>
      </c>
      <c r="AO37" s="222"/>
      <c r="AP37" s="187" t="s">
        <v>211</v>
      </c>
      <c r="AQ37" s="136" t="s">
        <v>212</v>
      </c>
      <c r="AR37" s="188" t="e">
        <f ca="1">IF(LEFT(_xll.BDP(TEXT(BloombergCode,)&amp;" equity",TEXT(BloombergItem,)),1)="#",AV37,_xll.BDP(TEXT(BloombergCode,)&amp;" equity",TEXT(BloombergItem,)))</f>
        <v>#NAME?</v>
      </c>
      <c r="AS37" s="138" t="e">
        <f ca="1">IF(LEFT(_xll.BDP(AR37&amp;" Curncy",TEXT(BloombergItem,)),1)="#",AW37,_xll.BDP(AR37&amp;" Curncy",TEXT(BloombergItem,)))</f>
        <v>#NAME?</v>
      </c>
      <c r="AT37" s="138" t="e">
        <f ca="1">VLOOKUP('Global Properties'!$AR37,#REF!,2,0)</f>
        <v>#NAME?</v>
      </c>
      <c r="AU37" s="189" t="e">
        <f ca="1">_xll.BDP(AR37&amp;" Curncy",TEXT(BloombergItem,))</f>
        <v>#NAME?</v>
      </c>
      <c r="AV37" s="190" t="e">
        <f ca="1">_xll.BDP(TEXT(BloombergCode,)&amp;" equity",TEXT(BloombergItem,))</f>
        <v>#NAME?</v>
      </c>
      <c r="AW37" s="189" t="e">
        <f ca="1">_xll.BDP(AV37&amp;" Curncy",TEXT(BloombergItem,))</f>
        <v>#NAME?</v>
      </c>
      <c r="AX37" s="138" t="e">
        <f ca="1">VLOOKUP('Global Properties'!$AV37,#REF!,2,0)</f>
        <v>#NAME?</v>
      </c>
      <c r="AY37" s="223" t="e">
        <f ca="1">_xll.BDP(TEXT(BloombergCode,)&amp;" equity",TEXT(BloombergItem,))</f>
        <v>#NAME?</v>
      </c>
      <c r="AZ37" s="223" t="e">
        <f ca="1">_xll.BDP(TEXT(BloombergCode,)&amp;" equity",TEXT(BloombergItem,))</f>
        <v>#NAME?</v>
      </c>
      <c r="BA37" s="224" t="e">
        <f ca="1">_xll.BDP(TEXT(BloombergCode,)&amp;" equity",TEXT(BloombergItem,))</f>
        <v>#NAME?</v>
      </c>
      <c r="BB37" s="224" t="e">
        <f ca="1">_xll.BDP(TEXT(BloombergCode,)&amp;" equity",TEXT(BloombergItem,))</f>
        <v>#NAME?</v>
      </c>
      <c r="BC37" s="224" t="e">
        <f ca="1">_xll.BDP(TEXT(BloombergCode,)&amp;" equity",TEXT(BloombergItem,))</f>
        <v>#NAME?</v>
      </c>
      <c r="BD37" s="190"/>
      <c r="BE37" s="139" t="str">
        <f t="shared" si="60"/>
        <v>VCX AU equity</v>
      </c>
      <c r="BF37" s="139"/>
      <c r="BG37" s="178"/>
      <c r="BH37" s="191"/>
      <c r="BI37" s="191" t="e">
        <f ca="1">_xll.BDP($BE37,BI$6,"BEST_FPERIOD_OVERRIDE",BI$5,"BEST_DATA_SOURCE_OVERRIDE","BST","BEST_CONSOLIDATED_OVERRIDE","C")</f>
        <v>#NAME?</v>
      </c>
      <c r="BJ37" s="191" t="e">
        <f ca="1">_xll.BDP($BE37,BJ$6,"BEST_FPERIOD_OVERRIDE",BJ$5,"BEST_DATA_SOURCE_OVERRIDE","BST","BEST_CONSOLIDATED_OVERRIDE","C")</f>
        <v>#NAME?</v>
      </c>
      <c r="BK37" s="191" t="e">
        <f ca="1">_xll.BDP($BE37,BK$6,"BEST_FPERIOD_OVERRIDE",BK$5,"BEST_DATA_SOURCE_OVERRIDE","BST","BEST_CONSOLIDATED_OVERRIDE","C")</f>
        <v>#NAME?</v>
      </c>
      <c r="BL37" s="191" t="e">
        <f ca="1">_xll.BDP($BE37,BL$6,"BEST_FPERIOD_OVERRIDE",BL$5,"BEST_DATA_SOURCE_OVERRIDE","BST","BEST_CONSOLIDATED_OVERRIDE","C")</f>
        <v>#NAME?</v>
      </c>
      <c r="BM37" s="191" t="e">
        <f ca="1">_xll.BDP($BE37,BM$6,"BEST_FPERIOD_OVERRIDE",BM$5,"BEST_DATA_SOURCE_OVERRIDE","BST","BEST_CONSOLIDATED_OVERRIDE","C")</f>
        <v>#NAME?</v>
      </c>
      <c r="BN37" s="191" t="e">
        <f ca="1">_xll.BDP($BE37,BN$6,"BEST_FPERIOD_OVERRIDE",BN$5,"BEST_DATA_SOURCE_OVERRIDE","BST","BEST_CONSOLIDATED_OVERRIDE","C")</f>
        <v>#NAME?</v>
      </c>
      <c r="BO37" s="191" t="e">
        <f ca="1">_xll.BDP($BE37,BO$6,"BEST_FPERIOD_OVERRIDE",BO$5,"BEST_DATA_SOURCE_OVERRIDE","BST","BEST_CONSOLIDATED_OVERRIDE","C")</f>
        <v>#NAME?</v>
      </c>
      <c r="BP37" s="191" t="e">
        <f ca="1">_xll.BDP($BE37,BP$6,"BEST_FPERIOD_OVERRIDE",BP$5,"BEST_DATA_SOURCE_OVERRIDE","BST","BEST_CONSOLIDATED_OVERRIDE","C")</f>
        <v>#NAME?</v>
      </c>
      <c r="BQ37" s="191" t="e">
        <f ca="1">_xll.BDP($BE37,BQ$6,"BEST_FPERIOD_OVERRIDE",BQ$5,"BEST_DATA_SOURCE_OVERRIDE","BST","BEST_CONSOLIDATED_OVERRIDE","C")</f>
        <v>#NAME?</v>
      </c>
      <c r="BR37" s="191" t="e">
        <f ca="1">_xll.BDP($BE37,BR$6,"BEST_FPERIOD_OVERRIDE",BR$5,"BEST_DATA_SOURCE_OVERRIDE","BST","BEST_CONSOLIDATED_OVERRIDE","C")</f>
        <v>#NAME?</v>
      </c>
      <c r="BS37" s="191" t="e">
        <f ca="1">_xll.BDP($BE37,BS$6,"BEST_FPERIOD_OVERRIDE",BS$5,"BEST_DATA_SOURCE_OVERRIDE","BST","BEST_CONSOLIDATED_OVERRIDE","C")</f>
        <v>#NAME?</v>
      </c>
      <c r="BT37" s="191" t="e">
        <f ca="1">_xll.BDP($BE37,BT$6,"BEST_FPERIOD_OVERRIDE",BT$5,"BEST_DATA_SOURCE_OVERRIDE","BST","BEST_CONSOLIDATED_OVERRIDE","C")</f>
        <v>#NAME?</v>
      </c>
      <c r="BU37" s="178"/>
      <c r="BV37" s="191" t="e">
        <f ca="1">_xll.BDP($BE37,BV$6,"BEST_FPERIOD_OVERRIDE",BV$5,"BEST_DATA_SOURCE_OVERRIDE","BST","BEST_CONSOLIDATED_OVERRIDE","C")</f>
        <v>#NAME?</v>
      </c>
      <c r="BW37" s="191" t="e">
        <f ca="1">_xll.BDP($BE37,BW$6,"BEST_FPERIOD_OVERRIDE",BW$5,"BEST_DATA_SOURCE_OVERRIDE","BST","BEST_CONSOLIDATED_OVERRIDE","C")</f>
        <v>#NAME?</v>
      </c>
      <c r="BX37" s="191" t="e">
        <f ca="1">_xll.BDP($BE37,BX$6,"BEST_FPERIOD_OVERRIDE",BX$5,"BEST_DATA_SOURCE_OVERRIDE","BST","BEST_CONSOLIDATED_OVERRIDE","C")</f>
        <v>#NAME?</v>
      </c>
      <c r="BY37" s="191" t="e">
        <f ca="1">_xll.BDP($BE37,BY$6,"BEST_FPERIOD_OVERRIDE",BY$5,"BEST_DATA_SOURCE_OVERRIDE","BST","BEST_CONSOLIDATED_OVERRIDE","C")</f>
        <v>#NAME?</v>
      </c>
      <c r="BZ37" s="191" t="e">
        <f ca="1">_xll.BDP($BE37,BZ$6,"BEST_FPERIOD_OVERRIDE",BZ$5,"BEST_DATA_SOURCE_OVERRIDE","BST","BEST_CONSOLIDATED_OVERRIDE","C")</f>
        <v>#NAME?</v>
      </c>
      <c r="CA37" s="191" t="e">
        <f ca="1">_xll.BDP($BE37,CA$6,"BEST_FPERIOD_OVERRIDE",CA$5,"BEST_DATA_SOURCE_OVERRIDE","BST","BEST_CONSOLIDATED_OVERRIDE","C")</f>
        <v>#NAME?</v>
      </c>
      <c r="CB37" s="191" t="e">
        <f ca="1">_xll.BDP($BE37,CB$6,"BEST_FPERIOD_OVERRIDE",CB$5,"BEST_DATA_SOURCE_OVERRIDE","BST","BEST_CONSOLIDATED_OVERRIDE","C")</f>
        <v>#NAME?</v>
      </c>
      <c r="CC37" s="191" t="e">
        <f ca="1">_xll.BDP($BE37,CC$6,"BEST_FPERIOD_OVERRIDE",CC$5,"BEST_DATA_SOURCE_OVERRIDE","BST","BEST_CONSOLIDATED_OVERRIDE","C")</f>
        <v>#NAME?</v>
      </c>
      <c r="CD37" s="191" t="e">
        <f ca="1">_xll.BDP($BE37,CD$6,"BEST_FPERIOD_OVERRIDE",CD$5,"BEST_DATA_SOURCE_OVERRIDE","BST","BEST_CONSOLIDATED_OVERRIDE","C")</f>
        <v>#NAME?</v>
      </c>
      <c r="CE37" s="191" t="e">
        <f ca="1">_xll.BDP($BE37,CE$6,"BEST_FPERIOD_OVERRIDE",CE$5,"BEST_DATA_SOURCE_OVERRIDE","BST","BEST_CONSOLIDATED_OVERRIDE","C")</f>
        <v>#NAME?</v>
      </c>
      <c r="CF37" s="191" t="e">
        <f ca="1">_xll.BDP($BE37,CF$6,"BEST_FPERIOD_OVERRIDE",CF$5,"BEST_DATA_SOURCE_OVERRIDE","BST","BEST_CONSOLIDATED_OVERRIDE","C")</f>
        <v>#NAME?</v>
      </c>
      <c r="CG37" s="191" t="e">
        <f ca="1">_xll.BDP($BE37,CG$6,"BEST_FPERIOD_OVERRIDE",CG$5,"BEST_DATA_SOURCE_OVERRIDE","BST","BEST_CONSOLIDATED_OVERRIDE","C")</f>
        <v>#NAME?</v>
      </c>
      <c r="CH37" s="191"/>
      <c r="CI37" s="192" t="e">
        <f ca="1">_xll.BDP($BE37,CI$6,"BEST_FPERIOD_OVERRIDE",CI$5,"BEST_DATA_SOURCE_OVERRIDE","BST","BEST_CONSOLIDATED_OVERRIDE","C")</f>
        <v>#NAME?</v>
      </c>
      <c r="CJ37" s="192" t="e">
        <f ca="1">_xll.BDP($BE37,CJ$6,"BEST_FPERIOD_OVERRIDE",CJ$5,"BEST_DATA_SOURCE_OVERRIDE","BST","BEST_CONSOLIDATED_OVERRIDE","C")</f>
        <v>#NAME?</v>
      </c>
      <c r="CK37" s="192" t="e">
        <f ca="1">_xll.BDP($BE37,CK$6,"BEST_FPERIOD_OVERRIDE",CK$5,"BEST_DATA_SOURCE_OVERRIDE","BST","BEST_CONSOLIDATED_OVERRIDE","C")</f>
        <v>#NAME?</v>
      </c>
      <c r="CL37" s="192" t="e">
        <f ca="1">_xll.BDP($BE37,CL$6,"BEST_FPERIOD_OVERRIDE",CL$5,"BEST_DATA_SOURCE_OVERRIDE","BST","BEST_CONSOLIDATED_OVERRIDE","C")</f>
        <v>#NAME?</v>
      </c>
      <c r="CM37" s="192" t="e">
        <f ca="1">_xll.BDP($BE37,CM$6,"BEST_FPERIOD_OVERRIDE",CM$5,"BEST_DATA_SOURCE_OVERRIDE","BST","BEST_CONSOLIDATED_OVERRIDE","C")</f>
        <v>#NAME?</v>
      </c>
      <c r="CN37" s="192" t="e">
        <f ca="1">_xll.BDP($BE37,CN$6,"BEST_FPERIOD_OVERRIDE",CN$5,"BEST_DATA_SOURCE_OVERRIDE","BST","BEST_CONSOLIDATED_OVERRIDE","C")</f>
        <v>#NAME?</v>
      </c>
      <c r="CO37" s="192" t="e">
        <f ca="1">_xll.BDP($BE37,CO$6,"BEST_FPERIOD_OVERRIDE",CO$5,"BEST_DATA_SOURCE_OVERRIDE","BST","BEST_CONSOLIDATED_OVERRIDE","C")</f>
        <v>#NAME?</v>
      </c>
      <c r="CP37" s="192" t="e">
        <f ca="1">_xll.BDP($BE37,CP$6,"BEST_FPERIOD_OVERRIDE",CP$5,"BEST_DATA_SOURCE_OVERRIDE","BST","BEST_CONSOLIDATED_OVERRIDE","C")</f>
        <v>#NAME?</v>
      </c>
      <c r="CQ37" s="192" t="e">
        <f ca="1">_xll.BDP($BE37,CQ$6,"BEST_FPERIOD_OVERRIDE",CQ$5,"BEST_DATA_SOURCE_OVERRIDE","BST","BEST_CONSOLIDATED_OVERRIDE","C")</f>
        <v>#NAME?</v>
      </c>
      <c r="CR37" s="192" t="e">
        <f ca="1">_xll.BDP($BE37,CR$6,"BEST_FPERIOD_OVERRIDE",CR$5,"BEST_DATA_SOURCE_OVERRIDE","BST","BEST_CONSOLIDATED_OVERRIDE","C")</f>
        <v>#NAME?</v>
      </c>
      <c r="CS37" s="192" t="e">
        <f ca="1">_xll.BDP($BE37,CS$6,"BEST_FPERIOD_OVERRIDE",CS$5,"BEST_DATA_SOURCE_OVERRIDE","BST","BEST_CONSOLIDATED_OVERRIDE","C")</f>
        <v>#NAME?</v>
      </c>
      <c r="CT37" s="192" t="e">
        <f ca="1">_xll.BDP($BE37,CT$6,"BEST_FPERIOD_OVERRIDE",CT$5,"BEST_DATA_SOURCE_OVERRIDE","BST","BEST_CONSOLIDATED_OVERRIDE","C")</f>
        <v>#NAME?</v>
      </c>
    </row>
    <row r="38" spans="1:98" s="178" customFormat="1" ht="16.5">
      <c r="A38" s="177"/>
      <c r="E38" s="179"/>
      <c r="F38" s="180"/>
      <c r="G38" s="213"/>
      <c r="H38" s="214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4"/>
      <c r="T38" s="183"/>
      <c r="U38" s="183"/>
      <c r="V38" s="183"/>
      <c r="W38" s="183"/>
      <c r="X38" s="183"/>
      <c r="Y38" s="183"/>
      <c r="Z38" s="183"/>
      <c r="AA38" s="183"/>
      <c r="AB38" s="183"/>
      <c r="AC38" s="261"/>
      <c r="AD38" s="262"/>
      <c r="AE38" s="262"/>
      <c r="AF38" s="262"/>
      <c r="AG38" s="262"/>
      <c r="AH38" s="262"/>
      <c r="AI38" s="262"/>
      <c r="AJ38" s="262"/>
      <c r="AK38" s="262"/>
      <c r="AL38" s="262"/>
      <c r="AM38" s="175"/>
      <c r="AN38" s="148"/>
      <c r="AO38" s="136"/>
      <c r="AP38" s="187"/>
      <c r="AQ38" s="136"/>
      <c r="AR38" s="188"/>
      <c r="AS38" s="138"/>
      <c r="AT38" s="138"/>
      <c r="AU38" s="189"/>
      <c r="AV38" s="190"/>
      <c r="AW38" s="189"/>
      <c r="AX38" s="138"/>
      <c r="AY38" s="219"/>
      <c r="AZ38" s="219"/>
      <c r="BA38" s="220"/>
      <c r="BB38" s="220"/>
      <c r="BC38" s="220"/>
      <c r="BD38" s="190"/>
      <c r="BE38" s="139"/>
      <c r="BF38" s="139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</row>
    <row r="39" spans="1:98" ht="17.25" outlineLevel="1" thickBot="1">
      <c r="E39" s="258"/>
      <c r="F39" s="258"/>
      <c r="G39" s="258"/>
      <c r="H39" s="258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  <c r="T39" s="241"/>
      <c r="U39" s="241"/>
      <c r="V39" s="241"/>
      <c r="W39" s="241"/>
      <c r="X39" s="241"/>
      <c r="Y39" s="241"/>
      <c r="Z39" s="241"/>
      <c r="AA39" s="241"/>
      <c r="AB39" s="241"/>
      <c r="AC39" s="260"/>
      <c r="AD39" s="258"/>
      <c r="AE39" s="258"/>
      <c r="AF39" s="258"/>
      <c r="AG39" s="258"/>
      <c r="AH39" s="258"/>
      <c r="AI39" s="258"/>
      <c r="AJ39" s="258"/>
      <c r="AK39" s="258"/>
      <c r="AL39" s="258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</row>
    <row r="40" spans="1:98" ht="16.5">
      <c r="E40" s="152"/>
      <c r="F40" s="153" t="s">
        <v>178</v>
      </c>
      <c r="G40" s="154" t="s">
        <v>13</v>
      </c>
      <c r="H40" s="154" t="s">
        <v>179</v>
      </c>
      <c r="I40" s="155" t="s">
        <v>180</v>
      </c>
      <c r="J40" s="155"/>
      <c r="K40" s="155"/>
      <c r="L40" s="155"/>
      <c r="M40" s="155"/>
      <c r="N40" s="155"/>
      <c r="O40" s="155"/>
      <c r="P40" s="155"/>
      <c r="Q40" s="155"/>
      <c r="R40" s="155"/>
      <c r="S40" s="155" t="s">
        <v>181</v>
      </c>
      <c r="T40" s="155"/>
      <c r="U40" s="155"/>
      <c r="V40" s="155"/>
      <c r="W40" s="155"/>
      <c r="X40" s="155"/>
      <c r="Y40" s="155"/>
      <c r="Z40" s="155"/>
      <c r="AA40" s="155"/>
      <c r="AB40" s="155"/>
      <c r="AC40" s="155" t="s">
        <v>2</v>
      </c>
      <c r="AD40" s="155"/>
      <c r="AE40" s="155"/>
      <c r="AF40" s="155"/>
      <c r="AG40" s="155"/>
      <c r="AH40" s="155"/>
      <c r="AI40" s="156"/>
      <c r="AJ40" s="156"/>
      <c r="AK40" s="156"/>
      <c r="AL40" s="156"/>
    </row>
    <row r="41" spans="1:98" ht="16.5">
      <c r="E41" s="159"/>
      <c r="F41" s="160" t="s">
        <v>185</v>
      </c>
      <c r="G41" s="160" t="s">
        <v>186</v>
      </c>
      <c r="H41" s="160" t="s">
        <v>187</v>
      </c>
      <c r="I41" s="160">
        <v>2011</v>
      </c>
      <c r="J41" s="160" t="s">
        <v>188</v>
      </c>
      <c r="K41" s="160" t="s">
        <v>189</v>
      </c>
      <c r="L41" s="160" t="s">
        <v>190</v>
      </c>
      <c r="M41" s="160" t="s">
        <v>12</v>
      </c>
      <c r="N41" s="160" t="s">
        <v>26</v>
      </c>
      <c r="O41" s="160" t="s">
        <v>88</v>
      </c>
      <c r="P41" s="162" t="s">
        <v>314</v>
      </c>
      <c r="Q41" s="162" t="s">
        <v>329</v>
      </c>
      <c r="R41" s="162" t="s">
        <v>341</v>
      </c>
      <c r="S41" s="161">
        <v>2011</v>
      </c>
      <c r="T41" s="160" t="s">
        <v>188</v>
      </c>
      <c r="U41" s="160" t="s">
        <v>189</v>
      </c>
      <c r="V41" s="162" t="s">
        <v>190</v>
      </c>
      <c r="W41" s="162" t="s">
        <v>12</v>
      </c>
      <c r="X41" s="162" t="s">
        <v>26</v>
      </c>
      <c r="Y41" s="162" t="s">
        <v>88</v>
      </c>
      <c r="Z41" s="162" t="s">
        <v>314</v>
      </c>
      <c r="AA41" s="162" t="s">
        <v>329</v>
      </c>
      <c r="AB41" s="162" t="s">
        <v>341</v>
      </c>
      <c r="AC41" s="161">
        <v>2011</v>
      </c>
      <c r="AD41" s="160" t="s">
        <v>188</v>
      </c>
      <c r="AE41" s="160" t="s">
        <v>189</v>
      </c>
      <c r="AF41" s="162" t="s">
        <v>190</v>
      </c>
      <c r="AG41" s="162" t="s">
        <v>12</v>
      </c>
      <c r="AH41" s="162" t="s">
        <v>26</v>
      </c>
      <c r="AI41" s="162" t="s">
        <v>88</v>
      </c>
      <c r="AJ41" s="162" t="s">
        <v>314</v>
      </c>
      <c r="AK41" s="162" t="s">
        <v>329</v>
      </c>
      <c r="AL41" s="162" t="s">
        <v>341</v>
      </c>
    </row>
    <row r="42" spans="1:98" ht="16.5">
      <c r="E42" s="167" t="s">
        <v>72</v>
      </c>
      <c r="F42" s="168"/>
      <c r="G42" s="169"/>
      <c r="H42" s="170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2"/>
      <c r="T42" s="171"/>
      <c r="U42" s="171"/>
      <c r="V42" s="171"/>
      <c r="W42" s="173"/>
      <c r="X42" s="173"/>
      <c r="Y42" s="173"/>
      <c r="Z42" s="173"/>
      <c r="AA42" s="173"/>
      <c r="AB42" s="173"/>
      <c r="AC42" s="174"/>
      <c r="AD42" s="173"/>
      <c r="AE42" s="173"/>
      <c r="AF42" s="173"/>
      <c r="AG42" s="173"/>
      <c r="AH42" s="173"/>
      <c r="AI42" s="173"/>
      <c r="AJ42" s="173"/>
      <c r="AK42" s="173"/>
      <c r="AL42" s="173"/>
    </row>
    <row r="43" spans="1:98" ht="16.5">
      <c r="E43" s="179" t="s">
        <v>239</v>
      </c>
      <c r="F43" s="269" t="s">
        <v>200</v>
      </c>
      <c r="G43" s="270">
        <v>146.54</v>
      </c>
      <c r="H43" s="271">
        <v>45137.476911220001</v>
      </c>
      <c r="I43" s="272">
        <v>22.871549877231683</v>
      </c>
      <c r="J43" s="272">
        <v>19.227454029498258</v>
      </c>
      <c r="K43" s="272">
        <v>18.63742783505155</v>
      </c>
      <c r="L43" s="272">
        <v>18.992966270389829</v>
      </c>
      <c r="M43" s="272">
        <v>17.846613686059378</v>
      </c>
      <c r="N43" s="272">
        <v>17.124442033698212</v>
      </c>
      <c r="O43" s="272">
        <v>16.793730460093673</v>
      </c>
      <c r="P43" s="272">
        <v>16.236719215315532</v>
      </c>
      <c r="Q43" s="272">
        <v>15.710199185876327</v>
      </c>
      <c r="R43" s="272">
        <v>15.311719119154818</v>
      </c>
      <c r="S43" s="273">
        <v>21.321111596100682</v>
      </c>
      <c r="T43" s="272">
        <v>18.646138185519785</v>
      </c>
      <c r="U43" s="272">
        <v>16.648488979777323</v>
      </c>
      <c r="V43" s="272">
        <v>16.481835564053537</v>
      </c>
      <c r="W43" s="272">
        <v>14.883201300020312</v>
      </c>
      <c r="X43" s="272">
        <v>13.961509146341463</v>
      </c>
      <c r="Y43" s="272">
        <v>13.076923076923077</v>
      </c>
      <c r="Z43" s="272">
        <v>12.088764230325028</v>
      </c>
      <c r="AA43" s="272">
        <v>11.833010335917312</v>
      </c>
      <c r="AB43" s="272">
        <v>11.515008643721513</v>
      </c>
      <c r="AC43" s="274">
        <v>2.3597652518083802E-2</v>
      </c>
      <c r="AD43" s="275">
        <v>2.8299440425822303E-2</v>
      </c>
      <c r="AE43" s="275">
        <v>3.1779718848096085E-2</v>
      </c>
      <c r="AF43" s="275">
        <v>3.5143987989627409E-2</v>
      </c>
      <c r="AG43" s="275">
        <v>4.1237887266275426E-2</v>
      </c>
      <c r="AH43" s="275">
        <v>4.4438378599699749E-2</v>
      </c>
      <c r="AI43" s="275">
        <v>4.8833083117237622E-2</v>
      </c>
      <c r="AJ43" s="275">
        <v>5.4135389654701785E-2</v>
      </c>
      <c r="AK43" s="275">
        <v>5.6749010509076027E-2</v>
      </c>
      <c r="AL43" s="275">
        <v>5.9103316500614164E-2</v>
      </c>
      <c r="AN43" s="134" t="s">
        <v>281</v>
      </c>
    </row>
    <row r="44" spans="1:98" ht="16.5">
      <c r="E44" s="193" t="s">
        <v>317</v>
      </c>
      <c r="F44" s="276" t="s">
        <v>201</v>
      </c>
      <c r="G44" s="277" t="s">
        <v>275</v>
      </c>
      <c r="H44" s="278" t="e">
        <v>#VALUE!</v>
      </c>
      <c r="I44" s="279" t="s">
        <v>275</v>
      </c>
      <c r="J44" s="279" t="s">
        <v>275</v>
      </c>
      <c r="K44" s="279" t="s">
        <v>275</v>
      </c>
      <c r="L44" s="279" t="s">
        <v>275</v>
      </c>
      <c r="M44" s="279" t="s">
        <v>275</v>
      </c>
      <c r="N44" s="279" t="s">
        <v>275</v>
      </c>
      <c r="O44" s="279" t="s">
        <v>275</v>
      </c>
      <c r="P44" s="279" t="s">
        <v>275</v>
      </c>
      <c r="Q44" s="279" t="s">
        <v>275</v>
      </c>
      <c r="R44" s="279" t="s">
        <v>275</v>
      </c>
      <c r="S44" s="280" t="e">
        <v>#VALUE!</v>
      </c>
      <c r="T44" s="279" t="e">
        <v>#VALUE!</v>
      </c>
      <c r="U44" s="279" t="e">
        <v>#VALUE!</v>
      </c>
      <c r="V44" s="279" t="e">
        <v>#VALUE!</v>
      </c>
      <c r="W44" s="279" t="e">
        <v>#VALUE!</v>
      </c>
      <c r="X44" s="279" t="e">
        <v>#VALUE!</v>
      </c>
      <c r="Y44" s="279" t="e">
        <v>#VALUE!</v>
      </c>
      <c r="Z44" s="279" t="e">
        <v>#VALUE!</v>
      </c>
      <c r="AA44" s="279" t="e">
        <v>#VALUE!</v>
      </c>
      <c r="AB44" s="279" t="e">
        <v>#VALUE!</v>
      </c>
      <c r="AC44" s="281" t="e">
        <v>#VALUE!</v>
      </c>
      <c r="AD44" s="282" t="e">
        <v>#VALUE!</v>
      </c>
      <c r="AE44" s="282" t="e">
        <v>#VALUE!</v>
      </c>
      <c r="AF44" s="282" t="e">
        <v>#VALUE!</v>
      </c>
      <c r="AG44" s="282" t="e">
        <v>#VALUE!</v>
      </c>
      <c r="AH44" s="282" t="e">
        <v>#VALUE!</v>
      </c>
      <c r="AI44" s="282" t="e">
        <v>#VALUE!</v>
      </c>
      <c r="AJ44" s="282" t="e">
        <v>#VALUE!</v>
      </c>
      <c r="AK44" s="282" t="e">
        <v>#VALUE!</v>
      </c>
      <c r="AL44" s="282" t="e">
        <v>#VALUE!</v>
      </c>
      <c r="AN44" s="134" t="s">
        <v>282</v>
      </c>
    </row>
    <row r="45" spans="1:98" ht="16.5">
      <c r="E45" s="179" t="s">
        <v>247</v>
      </c>
      <c r="F45" s="269" t="s">
        <v>209</v>
      </c>
      <c r="G45" s="283">
        <v>82.84</v>
      </c>
      <c r="H45" s="284">
        <v>52247.205727759996</v>
      </c>
      <c r="I45" s="272">
        <v>67.728690754085036</v>
      </c>
      <c r="J45" s="272">
        <v>48.844974682006288</v>
      </c>
      <c r="K45" s="272">
        <v>57.691295353181857</v>
      </c>
      <c r="L45" s="272">
        <v>64.978655306718593</v>
      </c>
      <c r="M45" s="272">
        <v>53.557848314606737</v>
      </c>
      <c r="N45" s="272">
        <v>41.979281824432405</v>
      </c>
      <c r="O45" s="272">
        <v>39.356616536919077</v>
      </c>
      <c r="P45" s="272">
        <v>34.920501831501831</v>
      </c>
      <c r="Q45" s="272">
        <v>30.344707336914386</v>
      </c>
      <c r="R45" s="272">
        <v>27.648005710812637</v>
      </c>
      <c r="S45" s="273">
        <v>63.772132409545812</v>
      </c>
      <c r="T45" s="272">
        <v>47.310108509423188</v>
      </c>
      <c r="U45" s="272">
        <v>50.38929440389294</v>
      </c>
      <c r="V45" s="272">
        <v>44.561592253899946</v>
      </c>
      <c r="W45" s="272">
        <v>37.552130553037173</v>
      </c>
      <c r="X45" s="272">
        <v>32.246010120669524</v>
      </c>
      <c r="Y45" s="272">
        <v>29.56459671663098</v>
      </c>
      <c r="Z45" s="272">
        <v>27.448641484426773</v>
      </c>
      <c r="AA45" s="272">
        <v>25.310113046135044</v>
      </c>
      <c r="AB45" s="272">
        <v>23.790924755887421</v>
      </c>
      <c r="AC45" s="274">
        <v>1.2409464027040075E-2</v>
      </c>
      <c r="AD45" s="275">
        <v>1.3520038628681796E-2</v>
      </c>
      <c r="AE45" s="275">
        <v>1.3520038628681796E-2</v>
      </c>
      <c r="AF45" s="275">
        <v>1.5934331240946401E-2</v>
      </c>
      <c r="AG45" s="275">
        <v>1.8348623853211007E-2</v>
      </c>
      <c r="AH45" s="275">
        <v>2.0280057943022695E-2</v>
      </c>
      <c r="AI45" s="275">
        <v>2.1064703042008692E-2</v>
      </c>
      <c r="AJ45" s="275">
        <v>2.3140994688556255E-2</v>
      </c>
      <c r="AK45" s="275">
        <v>2.5591501690004827E-2</v>
      </c>
      <c r="AL45" s="275">
        <v>2.6871076774505068E-2</v>
      </c>
      <c r="AN45" s="134" t="s">
        <v>283</v>
      </c>
    </row>
    <row r="46" spans="1:98" ht="16.5">
      <c r="E46" s="193" t="s">
        <v>241</v>
      </c>
      <c r="F46" s="276" t="s">
        <v>203</v>
      </c>
      <c r="G46" s="285">
        <v>28.28</v>
      </c>
      <c r="H46" s="286">
        <v>3994.9850312400004</v>
      </c>
      <c r="I46" s="279">
        <v>22.025823297628968</v>
      </c>
      <c r="J46" s="279">
        <v>19.039795918367346</v>
      </c>
      <c r="K46" s="279">
        <v>13.504710979353911</v>
      </c>
      <c r="L46" s="279">
        <v>11.818469723840892</v>
      </c>
      <c r="M46" s="279">
        <v>11.029224874658496</v>
      </c>
      <c r="N46" s="279">
        <v>10.362277068595731</v>
      </c>
      <c r="O46" s="279">
        <v>10.374756741729218</v>
      </c>
      <c r="P46" s="279">
        <v>10.589670828603859</v>
      </c>
      <c r="Q46" s="279">
        <v>12.509385894341646</v>
      </c>
      <c r="R46" s="279">
        <v>12.208191572886678</v>
      </c>
      <c r="S46" s="280">
        <v>10.881108118507118</v>
      </c>
      <c r="T46" s="279">
        <v>9.009238611022619</v>
      </c>
      <c r="U46" s="279">
        <v>8.0523917995444201</v>
      </c>
      <c r="V46" s="279">
        <v>7.8950307091010608</v>
      </c>
      <c r="W46" s="279">
        <v>7.2605905006418485</v>
      </c>
      <c r="X46" s="279">
        <v>6.9484029484029479</v>
      </c>
      <c r="Y46" s="279">
        <v>7.1776649746192893</v>
      </c>
      <c r="Z46" s="279">
        <v>7.5272824061751402</v>
      </c>
      <c r="AA46" s="279">
        <v>7.957231288688801</v>
      </c>
      <c r="AB46" s="279">
        <v>7.7713657598241275</v>
      </c>
      <c r="AC46" s="281">
        <v>7.248939179632248E-2</v>
      </c>
      <c r="AD46" s="282">
        <v>7.8783592644978778E-2</v>
      </c>
      <c r="AE46" s="282">
        <v>8.369872701555868E-2</v>
      </c>
      <c r="AF46" s="282">
        <v>8.8826025459688818E-2</v>
      </c>
      <c r="AG46" s="282">
        <v>0.16371994342291374</v>
      </c>
      <c r="AH46" s="282">
        <v>0.16789250353606788</v>
      </c>
      <c r="AI46" s="282">
        <v>0.1014144271570014</v>
      </c>
      <c r="AJ46" s="282">
        <v>0.10579915134370578</v>
      </c>
      <c r="AK46" s="282">
        <v>0.10608203677510607</v>
      </c>
      <c r="AL46" s="282">
        <v>0.10618811881188119</v>
      </c>
      <c r="AN46" s="134" t="s">
        <v>284</v>
      </c>
    </row>
    <row r="47" spans="1:98" ht="16.5">
      <c r="E47" s="179" t="s">
        <v>245</v>
      </c>
      <c r="F47" s="269" t="s">
        <v>207</v>
      </c>
      <c r="G47" s="283">
        <v>126.64</v>
      </c>
      <c r="H47" s="284">
        <v>19574.459859999999</v>
      </c>
      <c r="I47" s="272">
        <v>29.357577900552489</v>
      </c>
      <c r="J47" s="272">
        <v>27.764317189823831</v>
      </c>
      <c r="K47" s="272">
        <v>24.600562962962965</v>
      </c>
      <c r="L47" s="272">
        <v>23.40021842522459</v>
      </c>
      <c r="M47" s="272">
        <v>22.345338940285956</v>
      </c>
      <c r="N47" s="272">
        <v>21.926113132457498</v>
      </c>
      <c r="O47" s="272">
        <v>21.630544939180545</v>
      </c>
      <c r="P47" s="272">
        <v>21.025523172812424</v>
      </c>
      <c r="Q47" s="272">
        <v>19.484977080300794</v>
      </c>
      <c r="R47" s="272">
        <v>18.364974078938275</v>
      </c>
      <c r="S47" s="273">
        <v>26.273858921161825</v>
      </c>
      <c r="T47" s="272">
        <v>25.993431855500823</v>
      </c>
      <c r="U47" s="272">
        <v>25.988097681099937</v>
      </c>
      <c r="V47" s="272">
        <v>24.098953377735491</v>
      </c>
      <c r="W47" s="272">
        <v>23.719797714927889</v>
      </c>
      <c r="X47" s="272">
        <v>21.170177198261449</v>
      </c>
      <c r="Y47" s="272">
        <v>20.472033624312964</v>
      </c>
      <c r="Z47" s="272">
        <v>19.793685526727099</v>
      </c>
      <c r="AA47" s="272">
        <v>17.975869410929736</v>
      </c>
      <c r="AB47" s="272">
        <v>17.062786310967393</v>
      </c>
      <c r="AC47" s="274">
        <v>1.5958622867972203E-2</v>
      </c>
      <c r="AD47" s="275">
        <v>1.7648452305748578E-2</v>
      </c>
      <c r="AE47" s="275">
        <v>2.0664876816171827E-2</v>
      </c>
      <c r="AF47" s="275">
        <v>5.6064434617814275E-2</v>
      </c>
      <c r="AG47" s="275">
        <v>3.040113708149084E-2</v>
      </c>
      <c r="AH47" s="275">
        <v>2.0633291219204045E-2</v>
      </c>
      <c r="AI47" s="275">
        <v>2.3855022109917873E-2</v>
      </c>
      <c r="AJ47" s="275">
        <v>2.743209096651927E-2</v>
      </c>
      <c r="AK47" s="275">
        <v>3.0606443461781426E-2</v>
      </c>
      <c r="AL47" s="275">
        <v>3.3299115603284905E-2</v>
      </c>
      <c r="AN47" s="134" t="s">
        <v>285</v>
      </c>
    </row>
    <row r="48" spans="1:98" ht="16.5">
      <c r="E48" s="193" t="s">
        <v>248</v>
      </c>
      <c r="F48" s="276" t="s">
        <v>210</v>
      </c>
      <c r="G48" s="285">
        <v>128.06</v>
      </c>
      <c r="H48" s="286">
        <v>9598.6684037200012</v>
      </c>
      <c r="I48" s="279">
        <v>37.211897913141563</v>
      </c>
      <c r="J48" s="279">
        <v>33.237629722921916</v>
      </c>
      <c r="K48" s="279">
        <v>31.439930903025971</v>
      </c>
      <c r="L48" s="279">
        <v>29.876216697194945</v>
      </c>
      <c r="M48" s="279">
        <v>27.750450052576234</v>
      </c>
      <c r="N48" s="279">
        <v>25.613711670196263</v>
      </c>
      <c r="O48" s="279">
        <v>24.083480562146377</v>
      </c>
      <c r="P48" s="279">
        <v>22.25183642495784</v>
      </c>
      <c r="Q48" s="279">
        <v>21.615969687637197</v>
      </c>
      <c r="R48" s="279">
        <v>20.40515288394181</v>
      </c>
      <c r="S48" s="280">
        <v>31.983016983016981</v>
      </c>
      <c r="T48" s="279">
        <v>29.753717472118957</v>
      </c>
      <c r="U48" s="279">
        <v>27.851239669421489</v>
      </c>
      <c r="V48" s="279">
        <v>26.002030456852793</v>
      </c>
      <c r="W48" s="279">
        <v>24.030775004691314</v>
      </c>
      <c r="X48" s="279">
        <v>22.693602693602696</v>
      </c>
      <c r="Y48" s="279">
        <v>21.668358714043993</v>
      </c>
      <c r="Z48" s="279">
        <v>20.59504663879061</v>
      </c>
      <c r="AA48" s="279">
        <v>20.043825324776961</v>
      </c>
      <c r="AB48" s="279">
        <v>18.997181427087966</v>
      </c>
      <c r="AC48" s="281">
        <v>2.1240043729501792E-2</v>
      </c>
      <c r="AD48" s="282">
        <v>2.2192722161486801E-2</v>
      </c>
      <c r="AE48" s="282">
        <v>2.3684210526315794E-2</v>
      </c>
      <c r="AF48" s="282">
        <v>2.5769170701233794E-2</v>
      </c>
      <c r="AG48" s="282">
        <v>2.8330470092144306E-2</v>
      </c>
      <c r="AH48" s="282">
        <v>2.998594408870842E-2</v>
      </c>
      <c r="AI48" s="282">
        <v>3.101671091675777E-2</v>
      </c>
      <c r="AJ48" s="282">
        <v>3.1727315320943306E-2</v>
      </c>
      <c r="AK48" s="282">
        <v>3.2430110885522417E-2</v>
      </c>
      <c r="AL48" s="282">
        <v>3.3374980477900981E-2</v>
      </c>
      <c r="AN48" s="134" t="s">
        <v>286</v>
      </c>
    </row>
    <row r="49" spans="5:43" ht="16.5">
      <c r="E49" s="179" t="s">
        <v>246</v>
      </c>
      <c r="F49" s="269" t="s">
        <v>208</v>
      </c>
      <c r="G49" s="283">
        <v>78.099999999999994</v>
      </c>
      <c r="H49" s="284">
        <v>6516.6207325999994</v>
      </c>
      <c r="I49" s="272">
        <v>19.901856826568267</v>
      </c>
      <c r="J49" s="272">
        <v>17.115872745875105</v>
      </c>
      <c r="K49" s="272">
        <v>16.913115794596738</v>
      </c>
      <c r="L49" s="272">
        <v>15.031781493868451</v>
      </c>
      <c r="M49" s="272">
        <v>11.734993907745865</v>
      </c>
      <c r="N49" s="272">
        <v>10.100005992509363</v>
      </c>
      <c r="O49" s="272">
        <v>12.999284646902868</v>
      </c>
      <c r="P49" s="272">
        <v>13.290791522917694</v>
      </c>
      <c r="Q49" s="272">
        <v>18.464235535775419</v>
      </c>
      <c r="R49" s="272">
        <v>18.338671200272017</v>
      </c>
      <c r="S49" s="273">
        <v>16.404116782188613</v>
      </c>
      <c r="T49" s="272">
        <v>14.873357455722717</v>
      </c>
      <c r="U49" s="272">
        <v>15.179786200194361</v>
      </c>
      <c r="V49" s="272">
        <v>13.336748633879781</v>
      </c>
      <c r="W49" s="272">
        <v>12.241379310344827</v>
      </c>
      <c r="X49" s="272">
        <v>9.4816073813281534</v>
      </c>
      <c r="Y49" s="272">
        <v>12.102897876956453</v>
      </c>
      <c r="Z49" s="272">
        <v>11.792239166540842</v>
      </c>
      <c r="AA49" s="272">
        <v>11.261715933669789</v>
      </c>
      <c r="AB49" s="272">
        <v>11.14281637894136</v>
      </c>
      <c r="AC49" s="274">
        <v>6.3380281690140847E-3</v>
      </c>
      <c r="AD49" s="275">
        <v>1.3546734955185663E-2</v>
      </c>
      <c r="AE49" s="275">
        <v>1.8809218950064023E-2</v>
      </c>
      <c r="AF49" s="275">
        <v>2.6888604353393086E-2</v>
      </c>
      <c r="AG49" s="275">
        <v>3.0729833546734957E-2</v>
      </c>
      <c r="AH49" s="275">
        <v>3.752880921895007E-2</v>
      </c>
      <c r="AI49" s="275">
        <v>3.9923175416133168E-2</v>
      </c>
      <c r="AJ49" s="275">
        <v>4.1959026888604353E-2</v>
      </c>
      <c r="AK49" s="275">
        <v>4.3815620998719593E-2</v>
      </c>
      <c r="AL49" s="275">
        <v>4.5326504481434063E-2</v>
      </c>
      <c r="AN49" s="134" t="s">
        <v>287</v>
      </c>
    </row>
    <row r="50" spans="5:43" ht="16.5">
      <c r="E50" s="193" t="s">
        <v>244</v>
      </c>
      <c r="F50" s="276" t="s">
        <v>206</v>
      </c>
      <c r="G50" s="285">
        <v>18.27</v>
      </c>
      <c r="H50" s="286">
        <v>7711.7196076199998</v>
      </c>
      <c r="I50" s="279">
        <v>19.471006227002547</v>
      </c>
      <c r="J50" s="279">
        <v>19.038925544810944</v>
      </c>
      <c r="K50" s="279">
        <v>17.102377738165384</v>
      </c>
      <c r="L50" s="279">
        <v>17.06521221412677</v>
      </c>
      <c r="M50" s="279">
        <v>15.260705788396585</v>
      </c>
      <c r="N50" s="279">
        <v>16.095242161909216</v>
      </c>
      <c r="O50" s="279">
        <v>15.723672000000001</v>
      </c>
      <c r="P50" s="279">
        <v>16.945698977706613</v>
      </c>
      <c r="Q50" s="279">
        <v>16.65643220338983</v>
      </c>
      <c r="R50" s="279">
        <v>16.346385209352391</v>
      </c>
      <c r="S50" s="280">
        <v>15.365853658536585</v>
      </c>
      <c r="T50" s="279">
        <v>14.75767366720517</v>
      </c>
      <c r="U50" s="279">
        <v>13.695652173913043</v>
      </c>
      <c r="V50" s="279">
        <v>13.096774193548386</v>
      </c>
      <c r="W50" s="279">
        <v>11.734104046242775</v>
      </c>
      <c r="X50" s="279">
        <v>13.893536121673003</v>
      </c>
      <c r="Y50" s="279">
        <v>11.794706262104583</v>
      </c>
      <c r="Z50" s="279">
        <v>12.453987730061348</v>
      </c>
      <c r="AA50" s="279">
        <v>12.496580027359782</v>
      </c>
      <c r="AB50" s="279">
        <v>12.059405940594058</v>
      </c>
      <c r="AC50" s="281">
        <v>3.9737274220032835E-2</v>
      </c>
      <c r="AD50" s="282">
        <v>4.2419266557197598E-2</v>
      </c>
      <c r="AE50" s="282">
        <v>4.6962233169129723E-2</v>
      </c>
      <c r="AF50" s="282">
        <v>4.9261083743842367E-2</v>
      </c>
      <c r="AG50" s="282">
        <v>5.3639846743295021E-2</v>
      </c>
      <c r="AH50" s="282">
        <v>5.6923918992884515E-2</v>
      </c>
      <c r="AI50" s="282">
        <v>6.0153256704980833E-2</v>
      </c>
      <c r="AJ50" s="282">
        <v>6.1740558292282435E-2</v>
      </c>
      <c r="AK50" s="282">
        <v>6.2233169129720857E-2</v>
      </c>
      <c r="AL50" s="282">
        <v>6.2342638204707174E-2</v>
      </c>
      <c r="AN50" s="134" t="s">
        <v>288</v>
      </c>
    </row>
    <row r="51" spans="5:43" ht="16.5">
      <c r="E51" s="179" t="s">
        <v>242</v>
      </c>
      <c r="F51" s="269" t="s">
        <v>204</v>
      </c>
      <c r="G51" s="283" t="s">
        <v>275</v>
      </c>
      <c r="H51" s="284" t="e">
        <v>#VALUE!</v>
      </c>
      <c r="I51" s="272" t="s">
        <v>275</v>
      </c>
      <c r="J51" s="272" t="s">
        <v>275</v>
      </c>
      <c r="K51" s="272" t="s">
        <v>275</v>
      </c>
      <c r="L51" s="272" t="s">
        <v>275</v>
      </c>
      <c r="M51" s="272" t="s">
        <v>275</v>
      </c>
      <c r="N51" s="272" t="s">
        <v>275</v>
      </c>
      <c r="O51" s="272" t="s">
        <v>275</v>
      </c>
      <c r="P51" s="272" t="s">
        <v>275</v>
      </c>
      <c r="Q51" s="272" t="s">
        <v>275</v>
      </c>
      <c r="R51" s="272" t="s">
        <v>275</v>
      </c>
      <c r="S51" s="273" t="e">
        <v>#VALUE!</v>
      </c>
      <c r="T51" s="272" t="e">
        <v>#VALUE!</v>
      </c>
      <c r="U51" s="272" t="e">
        <v>#VALUE!</v>
      </c>
      <c r="V51" s="272" t="e">
        <v>#VALUE!</v>
      </c>
      <c r="W51" s="272" t="e">
        <v>#VALUE!</v>
      </c>
      <c r="X51" s="272" t="e">
        <v>#VALUE!</v>
      </c>
      <c r="Y51" s="272" t="e">
        <v>#VALUE!</v>
      </c>
      <c r="Z51" s="272" t="e">
        <v>#VALUE!</v>
      </c>
      <c r="AA51" s="272" t="e">
        <v>#VALUE!</v>
      </c>
      <c r="AB51" s="272" t="e">
        <v>#VALUE!</v>
      </c>
      <c r="AC51" s="274" t="e">
        <v>#VALUE!</v>
      </c>
      <c r="AD51" s="275" t="e">
        <v>#VALUE!</v>
      </c>
      <c r="AE51" s="275" t="e">
        <v>#VALUE!</v>
      </c>
      <c r="AF51" s="275" t="e">
        <v>#VALUE!</v>
      </c>
      <c r="AG51" s="275" t="e">
        <v>#VALUE!</v>
      </c>
      <c r="AH51" s="275" t="e">
        <v>#VALUE!</v>
      </c>
      <c r="AI51" s="275" t="e">
        <v>#VALUE!</v>
      </c>
      <c r="AJ51" s="275" t="e">
        <v>#VALUE!</v>
      </c>
      <c r="AK51" s="275" t="e">
        <v>#VALUE!</v>
      </c>
      <c r="AL51" s="275" t="e">
        <v>#VALUE!</v>
      </c>
      <c r="AN51" s="134" t="s">
        <v>289</v>
      </c>
    </row>
    <row r="52" spans="5:43" ht="16.5">
      <c r="E52" s="193" t="s">
        <v>243</v>
      </c>
      <c r="F52" s="276" t="s">
        <v>205</v>
      </c>
      <c r="G52" s="285">
        <v>63.32</v>
      </c>
      <c r="H52" s="286">
        <v>10620.212888240001</v>
      </c>
      <c r="I52" s="279">
        <v>44.581532922599457</v>
      </c>
      <c r="J52" s="279">
        <v>46.461460773628986</v>
      </c>
      <c r="K52" s="279">
        <v>42.73571510463978</v>
      </c>
      <c r="L52" s="279">
        <v>38.306403162055339</v>
      </c>
      <c r="M52" s="279">
        <v>41.007842031029618</v>
      </c>
      <c r="N52" s="279">
        <v>38.256</v>
      </c>
      <c r="O52" s="279">
        <v>21.44141592920354</v>
      </c>
      <c r="P52" s="279">
        <v>18.944166802410816</v>
      </c>
      <c r="Q52" s="279">
        <v>18.34588591620394</v>
      </c>
      <c r="R52" s="279">
        <v>18.011745756411845</v>
      </c>
      <c r="S52" s="280">
        <v>26.295681063122924</v>
      </c>
      <c r="T52" s="279">
        <v>25.087163232963551</v>
      </c>
      <c r="U52" s="279">
        <v>24.25124473381846</v>
      </c>
      <c r="V52" s="279">
        <v>22.453900709219859</v>
      </c>
      <c r="W52" s="279">
        <v>20.911492734478202</v>
      </c>
      <c r="X52" s="279">
        <v>19.340256566890652</v>
      </c>
      <c r="Y52" s="279">
        <v>17.692092763341716</v>
      </c>
      <c r="Z52" s="279">
        <v>16.676323413220963</v>
      </c>
      <c r="AA52" s="279">
        <v>16.498176133402815</v>
      </c>
      <c r="AB52" s="279">
        <v>15.865697820095214</v>
      </c>
      <c r="AC52" s="281">
        <v>2.923246999368288E-2</v>
      </c>
      <c r="AD52" s="282">
        <v>2.9248262792166774E-2</v>
      </c>
      <c r="AE52" s="282">
        <v>2.923246999368288E-2</v>
      </c>
      <c r="AF52" s="282">
        <v>2.9690461149715727E-2</v>
      </c>
      <c r="AG52" s="282">
        <v>3.0638029058749211E-2</v>
      </c>
      <c r="AH52" s="282">
        <v>3.1585596967782695E-2</v>
      </c>
      <c r="AI52" s="282">
        <v>3.3322804801010741E-2</v>
      </c>
      <c r="AJ52" s="282">
        <v>3.5091598231206569E-2</v>
      </c>
      <c r="AK52" s="282">
        <v>3.6844598862918507E-2</v>
      </c>
      <c r="AL52" s="282">
        <v>3.807643714466203E-2</v>
      </c>
      <c r="AN52" s="134" t="s">
        <v>290</v>
      </c>
    </row>
    <row r="53" spans="5:43" ht="16.5">
      <c r="E53" s="179" t="s">
        <v>240</v>
      </c>
      <c r="F53" s="269" t="s">
        <v>202</v>
      </c>
      <c r="G53" s="283">
        <v>38.5</v>
      </c>
      <c r="H53" s="284">
        <v>2356.5597825</v>
      </c>
      <c r="I53" s="287">
        <v>18.70386216798277</v>
      </c>
      <c r="J53" s="287">
        <v>16.083012345679013</v>
      </c>
      <c r="K53" s="287">
        <v>14.760540783074921</v>
      </c>
      <c r="L53" s="287">
        <v>16.402971543691763</v>
      </c>
      <c r="M53" s="287">
        <v>21.426381578947368</v>
      </c>
      <c r="N53" s="287">
        <v>19.878779370519457</v>
      </c>
      <c r="O53" s="287">
        <v>19.61933734939759</v>
      </c>
      <c r="P53" s="287">
        <v>18.348225352112674</v>
      </c>
      <c r="Q53" s="287">
        <v>15.067848600232253</v>
      </c>
      <c r="R53" s="287">
        <v>14.698686428534355</v>
      </c>
      <c r="S53" s="273">
        <v>14.15961750643619</v>
      </c>
      <c r="T53" s="272">
        <v>11.835229019366738</v>
      </c>
      <c r="U53" s="272">
        <v>10.682574916759156</v>
      </c>
      <c r="V53" s="272">
        <v>10.626552580734197</v>
      </c>
      <c r="W53" s="272">
        <v>11.29032258064516</v>
      </c>
      <c r="X53" s="272">
        <v>10.060099294486543</v>
      </c>
      <c r="Y53" s="272">
        <v>10.473340587595212</v>
      </c>
      <c r="Z53" s="272">
        <v>10.212201591511937</v>
      </c>
      <c r="AA53" s="272">
        <v>10.632421982877657</v>
      </c>
      <c r="AB53" s="272">
        <v>10.094389092815941</v>
      </c>
      <c r="AC53" s="274">
        <v>4.5922077922077927E-2</v>
      </c>
      <c r="AD53" s="275">
        <v>4.8389610389610392E-2</v>
      </c>
      <c r="AE53" s="275">
        <v>5.2025974025974031E-2</v>
      </c>
      <c r="AF53" s="275">
        <v>5.6103896103896107E-2</v>
      </c>
      <c r="AG53" s="275">
        <v>5.8701298701298706E-2</v>
      </c>
      <c r="AH53" s="275">
        <v>6.1818181818181814E-2</v>
      </c>
      <c r="AI53" s="275">
        <v>6.4935064935064929E-2</v>
      </c>
      <c r="AJ53" s="275">
        <v>6.8051948051948058E-2</v>
      </c>
      <c r="AK53" s="275">
        <v>7.0129870129870125E-2</v>
      </c>
      <c r="AL53" s="275">
        <v>7.2129870129870127E-2</v>
      </c>
      <c r="AN53" s="134" t="s">
        <v>291</v>
      </c>
    </row>
    <row r="54" spans="5:43" ht="16.5">
      <c r="E54" s="193" t="s">
        <v>266</v>
      </c>
      <c r="F54" s="276" t="s">
        <v>224</v>
      </c>
      <c r="G54" s="285">
        <v>13.93</v>
      </c>
      <c r="H54" s="286">
        <v>1303.0716393100001</v>
      </c>
      <c r="I54" s="279">
        <v>16.216864864864863</v>
      </c>
      <c r="J54" s="279">
        <v>14.257160372382133</v>
      </c>
      <c r="K54" s="279">
        <v>12.91562987007396</v>
      </c>
      <c r="L54" s="279">
        <v>12.448630705394191</v>
      </c>
      <c r="M54" s="279">
        <v>12.162632212659172</v>
      </c>
      <c r="N54" s="279">
        <v>11.331898016997167</v>
      </c>
      <c r="O54" s="279">
        <v>10.889727767695099</v>
      </c>
      <c r="P54" s="279">
        <v>10.822943722943723</v>
      </c>
      <c r="Q54" s="279">
        <v>11.321207547169811</v>
      </c>
      <c r="R54" s="279">
        <v>11.8301261829653</v>
      </c>
      <c r="S54" s="280">
        <v>9.6668979875086745</v>
      </c>
      <c r="T54" s="279">
        <v>8.5460122699386503</v>
      </c>
      <c r="U54" s="279">
        <v>7.2893772893772892</v>
      </c>
      <c r="V54" s="279">
        <v>7.6203501094091903</v>
      </c>
      <c r="W54" s="279">
        <v>6.3231956423059463</v>
      </c>
      <c r="X54" s="279">
        <v>5.8975444538526665</v>
      </c>
      <c r="Y54" s="279">
        <v>6.7164898746383805</v>
      </c>
      <c r="Z54" s="279">
        <v>5.6857142857142851</v>
      </c>
      <c r="AA54" s="279">
        <v>6.246636771300448</v>
      </c>
      <c r="AB54" s="279" t="e">
        <v>#VALUE!</v>
      </c>
      <c r="AC54" s="281">
        <v>5.7071069633883705E-2</v>
      </c>
      <c r="AD54" s="282">
        <v>5.9942569992821243E-2</v>
      </c>
      <c r="AE54" s="282">
        <v>6.4106245513280688E-2</v>
      </c>
      <c r="AF54" s="282">
        <v>6.8916008614501076E-2</v>
      </c>
      <c r="AG54" s="282">
        <v>8.3417085427135676E-2</v>
      </c>
      <c r="AH54" s="282">
        <v>9.3323761665470212E-2</v>
      </c>
      <c r="AI54" s="282">
        <v>9.7343862167982798E-2</v>
      </c>
      <c r="AJ54" s="282">
        <v>0.10000000000000002</v>
      </c>
      <c r="AK54" s="282">
        <v>0.10265613783201723</v>
      </c>
      <c r="AL54" s="282">
        <v>0.10495333811916727</v>
      </c>
      <c r="AN54" s="134" t="s">
        <v>292</v>
      </c>
      <c r="AP54" s="136" t="s">
        <v>211</v>
      </c>
      <c r="AQ54" s="136" t="s">
        <v>212</v>
      </c>
    </row>
    <row r="55" spans="5:43" ht="16.5">
      <c r="E55" s="226" t="s">
        <v>16</v>
      </c>
      <c r="F55" s="347"/>
      <c r="G55" s="348"/>
      <c r="H55" s="349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1"/>
      <c r="T55" s="350"/>
      <c r="U55" s="350"/>
      <c r="V55" s="350"/>
      <c r="W55" s="350"/>
      <c r="X55" s="350"/>
      <c r="Y55" s="350"/>
      <c r="Z55" s="350"/>
      <c r="AA55" s="350"/>
      <c r="AB55" s="350"/>
      <c r="AC55" s="351"/>
      <c r="AD55" s="350"/>
      <c r="AE55" s="350"/>
      <c r="AF55" s="350"/>
      <c r="AG55" s="350"/>
      <c r="AH55" s="350"/>
      <c r="AI55" s="350"/>
      <c r="AJ55" s="350"/>
      <c r="AK55" s="350"/>
      <c r="AL55" s="350"/>
    </row>
    <row r="56" spans="5:43" ht="16.5">
      <c r="E56" s="167" t="s">
        <v>213</v>
      </c>
      <c r="F56" s="352"/>
      <c r="G56" s="353"/>
      <c r="H56" s="354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6"/>
      <c r="T56" s="355"/>
      <c r="U56" s="355"/>
      <c r="V56" s="355"/>
      <c r="W56" s="355"/>
      <c r="X56" s="355"/>
      <c r="Y56" s="355"/>
      <c r="Z56" s="357"/>
      <c r="AA56" s="357"/>
      <c r="AB56" s="357"/>
      <c r="AC56" s="358"/>
      <c r="AD56" s="357"/>
      <c r="AE56" s="357"/>
      <c r="AF56" s="357"/>
      <c r="AG56" s="357"/>
      <c r="AH56" s="357"/>
      <c r="AI56" s="357"/>
      <c r="AJ56" s="357"/>
      <c r="AK56" s="357"/>
      <c r="AL56" s="357"/>
      <c r="AN56" s="134" t="s">
        <v>213</v>
      </c>
    </row>
    <row r="57" spans="5:43" ht="16.5">
      <c r="E57" s="179" t="s">
        <v>250</v>
      </c>
      <c r="F57" s="269" t="s">
        <v>215</v>
      </c>
      <c r="G57" s="283" t="s">
        <v>275</v>
      </c>
      <c r="H57" s="284" t="e">
        <v>#VALUE!</v>
      </c>
      <c r="I57" s="272" t="s">
        <v>275</v>
      </c>
      <c r="J57" s="272" t="s">
        <v>275</v>
      </c>
      <c r="K57" s="272" t="s">
        <v>275</v>
      </c>
      <c r="L57" s="272" t="s">
        <v>275</v>
      </c>
      <c r="M57" s="272" t="s">
        <v>275</v>
      </c>
      <c r="N57" s="272" t="s">
        <v>275</v>
      </c>
      <c r="O57" s="272" t="s">
        <v>275</v>
      </c>
      <c r="P57" s="272" t="s">
        <v>275</v>
      </c>
      <c r="Q57" s="272" t="s">
        <v>275</v>
      </c>
      <c r="R57" s="272" t="s">
        <v>275</v>
      </c>
      <c r="S57" s="273" t="e">
        <v>#VALUE!</v>
      </c>
      <c r="T57" s="272" t="e">
        <v>#VALUE!</v>
      </c>
      <c r="U57" s="272" t="e">
        <v>#VALUE!</v>
      </c>
      <c r="V57" s="272" t="e">
        <v>#VALUE!</v>
      </c>
      <c r="W57" s="272" t="e">
        <v>#VALUE!</v>
      </c>
      <c r="X57" s="272" t="e">
        <v>#VALUE!</v>
      </c>
      <c r="Y57" s="272" t="e">
        <v>#VALUE!</v>
      </c>
      <c r="Z57" s="272" t="e">
        <v>#VALUE!</v>
      </c>
      <c r="AA57" s="272" t="e">
        <v>#VALUE!</v>
      </c>
      <c r="AB57" s="272" t="e">
        <v>#VALUE!</v>
      </c>
      <c r="AC57" s="274" t="e">
        <v>#VALUE!</v>
      </c>
      <c r="AD57" s="275" t="e">
        <v>#VALUE!</v>
      </c>
      <c r="AE57" s="275" t="e">
        <v>#VALUE!</v>
      </c>
      <c r="AF57" s="275" t="e">
        <v>#VALUE!</v>
      </c>
      <c r="AG57" s="275" t="e">
        <v>#VALUE!</v>
      </c>
      <c r="AH57" s="275" t="e">
        <v>#VALUE!</v>
      </c>
      <c r="AI57" s="275" t="e">
        <v>#VALUE!</v>
      </c>
      <c r="AJ57" s="275" t="e">
        <v>#VALUE!</v>
      </c>
      <c r="AK57" s="275" t="e">
        <v>#VALUE!</v>
      </c>
      <c r="AL57" s="275" t="e">
        <v>#VALUE!</v>
      </c>
      <c r="AN57" s="134" t="s">
        <v>293</v>
      </c>
      <c r="AP57" s="136" t="s">
        <v>216</v>
      </c>
      <c r="AQ57" s="136" t="s">
        <v>217</v>
      </c>
    </row>
    <row r="58" spans="5:43" ht="16.5">
      <c r="E58" s="193" t="s">
        <v>336</v>
      </c>
      <c r="F58" s="276" t="s">
        <v>218</v>
      </c>
      <c r="G58" s="285">
        <v>27.58</v>
      </c>
      <c r="H58" s="286">
        <v>9306.317775102234</v>
      </c>
      <c r="I58" s="279">
        <v>24.557487445937706</v>
      </c>
      <c r="J58" s="279">
        <v>25.109497716556174</v>
      </c>
      <c r="K58" s="279">
        <v>24.575618423314058</v>
      </c>
      <c r="L58" s="279">
        <v>28.968793737346932</v>
      </c>
      <c r="M58" s="279">
        <v>21.188580444668919</v>
      </c>
      <c r="N58" s="279">
        <v>20.990413849212217</v>
      </c>
      <c r="O58" s="279">
        <v>19.815920684476033</v>
      </c>
      <c r="P58" s="279">
        <v>19.436547722862887</v>
      </c>
      <c r="Q58" s="279">
        <v>19.430354066985647</v>
      </c>
      <c r="R58" s="279">
        <v>18.902178365295104</v>
      </c>
      <c r="S58" s="280">
        <v>14.216494845360824</v>
      </c>
      <c r="T58" s="279">
        <v>14.485294117647056</v>
      </c>
      <c r="U58" s="279">
        <v>13.599605522682445</v>
      </c>
      <c r="V58" s="279">
        <v>13.70094386487829</v>
      </c>
      <c r="W58" s="279">
        <v>13.145853193517636</v>
      </c>
      <c r="X58" s="279">
        <v>12.329012069736253</v>
      </c>
      <c r="Y58" s="279">
        <v>11.120967741935484</v>
      </c>
      <c r="Z58" s="279">
        <v>10.518688024408847</v>
      </c>
      <c r="AA58" s="279">
        <v>10.065693430656934</v>
      </c>
      <c r="AB58" s="279">
        <v>9.864091559370527</v>
      </c>
      <c r="AC58" s="281">
        <v>4.9673676577229882E-2</v>
      </c>
      <c r="AD58" s="282">
        <v>5.36620739666425E-2</v>
      </c>
      <c r="AE58" s="282">
        <v>5.598259608411893E-2</v>
      </c>
      <c r="AF58" s="282">
        <v>5.7251631617113857E-2</v>
      </c>
      <c r="AG58" s="282">
        <v>6.2400290065264701E-2</v>
      </c>
      <c r="AH58" s="282">
        <v>6.4793328498912256E-2</v>
      </c>
      <c r="AI58" s="282">
        <v>7.023205221174765E-2</v>
      </c>
      <c r="AJ58" s="282">
        <v>7.5815808556925324E-2</v>
      </c>
      <c r="AK58" s="282">
        <v>7.9296591733139965E-2</v>
      </c>
      <c r="AL58" s="282">
        <v>8.1798404641044251E-2</v>
      </c>
      <c r="AN58" s="134" t="s">
        <v>294</v>
      </c>
      <c r="AP58" s="136" t="s">
        <v>216</v>
      </c>
      <c r="AQ58" s="136" t="s">
        <v>217</v>
      </c>
    </row>
    <row r="59" spans="5:43" ht="16.5">
      <c r="E59" s="241" t="s">
        <v>267</v>
      </c>
      <c r="F59" s="288" t="s">
        <v>259</v>
      </c>
      <c r="G59" s="289">
        <v>18.25</v>
      </c>
      <c r="H59" s="290">
        <v>814.17130467934999</v>
      </c>
      <c r="I59" s="287">
        <v>15.011085942704865</v>
      </c>
      <c r="J59" s="287">
        <v>16.972986817325801</v>
      </c>
      <c r="K59" s="287">
        <v>23.317678957662814</v>
      </c>
      <c r="L59" s="287">
        <v>21.256264150943398</v>
      </c>
      <c r="M59" s="287">
        <v>13.814616799509505</v>
      </c>
      <c r="N59" s="287">
        <v>12.191258427209471</v>
      </c>
      <c r="O59" s="287">
        <v>12.428781042110257</v>
      </c>
      <c r="P59" s="287">
        <v>12.711785613540199</v>
      </c>
      <c r="Q59" s="287">
        <v>14.52314316469322</v>
      </c>
      <c r="R59" s="287">
        <v>14.416927939802671</v>
      </c>
      <c r="S59" s="291">
        <v>4.269005847953216E-2</v>
      </c>
      <c r="T59" s="287">
        <v>5.29445894981143E-2</v>
      </c>
      <c r="U59" s="287">
        <v>6.3811188811188815E-2</v>
      </c>
      <c r="V59" s="287">
        <v>6.0430463576158937E-2</v>
      </c>
      <c r="W59" s="287">
        <v>5.3519061583577707E-2</v>
      </c>
      <c r="X59" s="287">
        <v>4.8408488063660479E-2</v>
      </c>
      <c r="Y59" s="287">
        <v>5.0554016620498618E-2</v>
      </c>
      <c r="Z59" s="287">
        <v>5.3676470588235298E-2</v>
      </c>
      <c r="AA59" s="287">
        <v>6.3588850174216033E-2</v>
      </c>
      <c r="AB59" s="287">
        <v>6.3192520775623262E-2</v>
      </c>
      <c r="AC59" s="292">
        <v>0.22526027397260273</v>
      </c>
      <c r="AD59" s="293">
        <v>0.15495890410958904</v>
      </c>
      <c r="AE59" s="293">
        <v>0.15567123287671236</v>
      </c>
      <c r="AF59" s="293">
        <v>0.15484931506849317</v>
      </c>
      <c r="AG59" s="293">
        <v>0.16301369863013698</v>
      </c>
      <c r="AH59" s="293">
        <v>0.16887671232876714</v>
      </c>
      <c r="AI59" s="293">
        <v>0.16926027397260274</v>
      </c>
      <c r="AJ59" s="293">
        <v>0.13808219178082193</v>
      </c>
      <c r="AK59" s="293">
        <v>0.13808219178082193</v>
      </c>
      <c r="AL59" s="293">
        <v>0.13008219178082192</v>
      </c>
      <c r="AN59" s="134" t="s">
        <v>295</v>
      </c>
      <c r="AP59" s="136" t="s">
        <v>216</v>
      </c>
      <c r="AQ59" s="136" t="s">
        <v>217</v>
      </c>
    </row>
    <row r="60" spans="5:43" ht="16.5">
      <c r="E60" s="193" t="s">
        <v>268</v>
      </c>
      <c r="F60" s="276" t="s">
        <v>260</v>
      </c>
      <c r="G60" s="285">
        <v>771.8</v>
      </c>
      <c r="H60" s="286">
        <v>6988.4437616566374</v>
      </c>
      <c r="I60" s="279">
        <v>20.093471360844255</v>
      </c>
      <c r="J60" s="279">
        <v>20.222917421417154</v>
      </c>
      <c r="K60" s="279">
        <v>21.241419138220479</v>
      </c>
      <c r="L60" s="279">
        <v>19.214042021587844</v>
      </c>
      <c r="M60" s="279">
        <v>18.448804860267312</v>
      </c>
      <c r="N60" s="279">
        <v>18.214211132437619</v>
      </c>
      <c r="O60" s="279">
        <v>18.382796548771651</v>
      </c>
      <c r="P60" s="279">
        <v>18.291449498843484</v>
      </c>
      <c r="Q60" s="279">
        <v>17.72929285380663</v>
      </c>
      <c r="R60" s="279">
        <v>17.895256521952302</v>
      </c>
      <c r="S60" s="280">
        <v>2080.3234501347706</v>
      </c>
      <c r="T60" s="279">
        <v>1227.0270270270269</v>
      </c>
      <c r="U60" s="279">
        <v>2036.4116094986805</v>
      </c>
      <c r="V60" s="279">
        <v>1984.0616966580976</v>
      </c>
      <c r="W60" s="279">
        <v>1850.8393285371703</v>
      </c>
      <c r="X60" s="279">
        <v>1782.4480369515011</v>
      </c>
      <c r="Y60" s="279">
        <v>1663.362068965517</v>
      </c>
      <c r="Z60" s="279">
        <v>1522.2879684418144</v>
      </c>
      <c r="AA60" s="279">
        <v>1495.736434108527</v>
      </c>
      <c r="AB60" s="279">
        <v>1501.5564202334629</v>
      </c>
      <c r="AC60" s="281">
        <v>3.6537963202902313E-2</v>
      </c>
      <c r="AD60" s="282">
        <v>3.7574501166105202E-2</v>
      </c>
      <c r="AE60" s="282">
        <v>3.8611039129308106E-2</v>
      </c>
      <c r="AF60" s="282">
        <v>3.9647577092511009E-2</v>
      </c>
      <c r="AG60" s="282">
        <v>4.1331951282715738E-2</v>
      </c>
      <c r="AH60" s="282">
        <v>4.2886758227520083E-2</v>
      </c>
      <c r="AI60" s="282">
        <v>4.7162477325732061E-2</v>
      </c>
      <c r="AJ60" s="282">
        <v>5.2604301632547291E-2</v>
      </c>
      <c r="AK60" s="282">
        <v>6.0767038092770155E-2</v>
      </c>
      <c r="AL60" s="282">
        <v>6.1674008810572688E-2</v>
      </c>
      <c r="AN60" s="134" t="s">
        <v>296</v>
      </c>
      <c r="AP60" s="136" t="s">
        <v>216</v>
      </c>
      <c r="AQ60" s="136" t="s">
        <v>217</v>
      </c>
    </row>
    <row r="61" spans="5:43" ht="16.5">
      <c r="E61" s="241" t="s">
        <v>269</v>
      </c>
      <c r="F61" s="288" t="s">
        <v>261</v>
      </c>
      <c r="G61" s="289">
        <v>509.8</v>
      </c>
      <c r="H61" s="290">
        <v>5790.8182531007678</v>
      </c>
      <c r="I61" s="287">
        <v>20.368564370111368</v>
      </c>
      <c r="J61" s="287">
        <v>16.038291824972966</v>
      </c>
      <c r="K61" s="287">
        <v>16.012219234746638</v>
      </c>
      <c r="L61" s="287">
        <v>15.049078228145339</v>
      </c>
      <c r="M61" s="287">
        <v>14.986271777003484</v>
      </c>
      <c r="N61" s="287">
        <v>14.37530730323309</v>
      </c>
      <c r="O61" s="287">
        <v>14.376802228412258</v>
      </c>
      <c r="P61" s="287">
        <v>15.277568820917613</v>
      </c>
      <c r="Q61" s="287">
        <v>17.272485509412746</v>
      </c>
      <c r="R61" s="287">
        <v>17.956705779752888</v>
      </c>
      <c r="S61" s="291">
        <v>17.34013605442177</v>
      </c>
      <c r="T61" s="287">
        <v>15.217910447761193</v>
      </c>
      <c r="U61" s="287">
        <v>16.235668789808916</v>
      </c>
      <c r="V61" s="287">
        <v>17.887719298245614</v>
      </c>
      <c r="W61" s="287">
        <v>17.107382550335572</v>
      </c>
      <c r="X61" s="287">
        <v>15.082840236686391</v>
      </c>
      <c r="Y61" s="287">
        <v>14.607449856733524</v>
      </c>
      <c r="Z61" s="287">
        <v>13.241558441558441</v>
      </c>
      <c r="AA61" s="287">
        <v>16.605863192182412</v>
      </c>
      <c r="AB61" s="287">
        <v>16.66013071895425</v>
      </c>
      <c r="AC61" s="292">
        <v>5.1196547665751276E-2</v>
      </c>
      <c r="AD61" s="293">
        <v>5.1196547665751276E-2</v>
      </c>
      <c r="AE61" s="293">
        <v>5.1981169085916046E-2</v>
      </c>
      <c r="AF61" s="293">
        <v>5.3158101216163205E-2</v>
      </c>
      <c r="AG61" s="293">
        <v>5.4531188701451558E-2</v>
      </c>
      <c r="AH61" s="293">
        <v>5.5904276186739904E-2</v>
      </c>
      <c r="AI61" s="293">
        <v>5.727736367202825E-2</v>
      </c>
      <c r="AJ61" s="293">
        <v>5.9042761867398978E-2</v>
      </c>
      <c r="AK61" s="293">
        <v>6.1004315417810914E-2</v>
      </c>
      <c r="AL61" s="293">
        <v>6.1985092193016872E-2</v>
      </c>
      <c r="AN61" s="134" t="s">
        <v>297</v>
      </c>
      <c r="AP61" s="136" t="s">
        <v>216</v>
      </c>
      <c r="AQ61" s="136" t="s">
        <v>217</v>
      </c>
    </row>
    <row r="62" spans="5:43" ht="16.5">
      <c r="E62" s="193" t="s">
        <v>270</v>
      </c>
      <c r="F62" s="276" t="s">
        <v>258</v>
      </c>
      <c r="G62" s="285">
        <v>38.200000000000003</v>
      </c>
      <c r="H62" s="286">
        <v>632.12410529511135</v>
      </c>
      <c r="I62" s="279">
        <v>15.603263234227702</v>
      </c>
      <c r="J62" s="279">
        <v>15.476087725809375</v>
      </c>
      <c r="K62" s="279">
        <v>15.774853372434018</v>
      </c>
      <c r="L62" s="279">
        <v>14.683976054573298</v>
      </c>
      <c r="M62" s="279">
        <v>13.748009701666101</v>
      </c>
      <c r="N62" s="279">
        <v>13.242799113737076</v>
      </c>
      <c r="O62" s="279">
        <v>12.986333415414922</v>
      </c>
      <c r="P62" s="279">
        <v>13.178980662326939</v>
      </c>
      <c r="Q62" s="279">
        <v>14.755551959095449</v>
      </c>
      <c r="R62" s="279">
        <v>16.665401607296655</v>
      </c>
      <c r="S62" s="280">
        <v>265.27777777777777</v>
      </c>
      <c r="T62" s="279">
        <v>254.66666666666669</v>
      </c>
      <c r="U62" s="279">
        <v>285.07462686567163</v>
      </c>
      <c r="V62" s="279">
        <v>285.07462686567163</v>
      </c>
      <c r="W62" s="279">
        <v>280.88235294117646</v>
      </c>
      <c r="X62" s="279">
        <v>269.01408450704224</v>
      </c>
      <c r="Y62" s="279">
        <v>261.64383561643837</v>
      </c>
      <c r="Z62" s="279">
        <v>259.86394557823132</v>
      </c>
      <c r="AA62" s="279">
        <v>347.27272727272731</v>
      </c>
      <c r="AB62" s="279">
        <v>402.10526315789474</v>
      </c>
      <c r="AC62" s="281">
        <v>0.3586387434554974</v>
      </c>
      <c r="AD62" s="282">
        <v>0.3586387434554974</v>
      </c>
      <c r="AE62" s="282">
        <v>0.35602094240837701</v>
      </c>
      <c r="AF62" s="282">
        <v>0.36125654450261785</v>
      </c>
      <c r="AG62" s="282">
        <v>0.3586387434554974</v>
      </c>
      <c r="AH62" s="282">
        <v>0.36125654450261785</v>
      </c>
      <c r="AI62" s="282">
        <v>0.36649214659685869</v>
      </c>
      <c r="AJ62" s="282">
        <v>0.15183246073298431</v>
      </c>
      <c r="AK62" s="282">
        <v>0</v>
      </c>
      <c r="AL62" s="282">
        <v>0</v>
      </c>
      <c r="AN62" s="134" t="s">
        <v>298</v>
      </c>
      <c r="AP62" s="136" t="s">
        <v>216</v>
      </c>
      <c r="AQ62" s="136" t="s">
        <v>217</v>
      </c>
    </row>
    <row r="63" spans="5:43" ht="16.5">
      <c r="E63" s="241" t="s">
        <v>252</v>
      </c>
      <c r="F63" s="288" t="s">
        <v>219</v>
      </c>
      <c r="G63" s="289">
        <v>226</v>
      </c>
      <c r="H63" s="290">
        <v>2114.9029380420566</v>
      </c>
      <c r="I63" s="287">
        <v>19.368241935483873</v>
      </c>
      <c r="J63" s="287">
        <v>20.389094289486085</v>
      </c>
      <c r="K63" s="287">
        <v>18.279018791527449</v>
      </c>
      <c r="L63" s="287">
        <v>17.761867255360926</v>
      </c>
      <c r="M63" s="287">
        <v>16.356362819111443</v>
      </c>
      <c r="N63" s="287">
        <v>14.614561242838496</v>
      </c>
      <c r="O63" s="287">
        <v>13.679110789621323</v>
      </c>
      <c r="P63" s="287">
        <v>13.385959485331616</v>
      </c>
      <c r="Q63" s="287">
        <v>15.428252064509705</v>
      </c>
      <c r="R63" s="287">
        <v>16.716924265573393</v>
      </c>
      <c r="S63" s="291">
        <v>11.078431372549019</v>
      </c>
      <c r="T63" s="287">
        <v>10.970873786407767</v>
      </c>
      <c r="U63" s="287">
        <v>9.9559471365638768</v>
      </c>
      <c r="V63" s="287">
        <v>9.4957983193277293</v>
      </c>
      <c r="W63" s="287">
        <v>8.2181818181818169</v>
      </c>
      <c r="X63" s="287">
        <v>7.4834437086092711</v>
      </c>
      <c r="Y63" s="287">
        <v>7.2435897435897436</v>
      </c>
      <c r="Z63" s="287">
        <v>7.0404984423676016</v>
      </c>
      <c r="AA63" s="287">
        <v>8.2481751824817522</v>
      </c>
      <c r="AB63" s="287">
        <v>7.9298245614035077</v>
      </c>
      <c r="AC63" s="292">
        <v>7.2566371681415942E-2</v>
      </c>
      <c r="AD63" s="293">
        <v>7.6991150442477896E-2</v>
      </c>
      <c r="AE63" s="293">
        <v>8.3628318584070799E-2</v>
      </c>
      <c r="AF63" s="293">
        <v>8.9380530973451347E-2</v>
      </c>
      <c r="AG63" s="293">
        <v>9.7787610619469043E-2</v>
      </c>
      <c r="AH63" s="293">
        <v>0.10530973451327436</v>
      </c>
      <c r="AI63" s="293">
        <v>0.11283185840707965</v>
      </c>
      <c r="AJ63" s="293">
        <v>0.11592920353982303</v>
      </c>
      <c r="AK63" s="293">
        <v>0.11415929203539825</v>
      </c>
      <c r="AL63" s="293">
        <v>0.11017699115044248</v>
      </c>
      <c r="AN63" s="134" t="s">
        <v>299</v>
      </c>
      <c r="AP63" s="136" t="s">
        <v>216</v>
      </c>
      <c r="AQ63" s="136" t="s">
        <v>217</v>
      </c>
    </row>
    <row r="64" spans="5:43" ht="16.5">
      <c r="E64" s="226"/>
      <c r="F64" s="347"/>
      <c r="G64" s="348"/>
      <c r="H64" s="349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1"/>
      <c r="T64" s="350"/>
      <c r="U64" s="350"/>
      <c r="V64" s="350"/>
      <c r="W64" s="350"/>
      <c r="X64" s="350"/>
      <c r="Y64" s="350"/>
      <c r="Z64" s="350"/>
      <c r="AA64" s="350"/>
      <c r="AB64" s="350"/>
      <c r="AC64" s="351"/>
      <c r="AD64" s="350"/>
      <c r="AE64" s="350"/>
      <c r="AF64" s="350"/>
      <c r="AG64" s="350"/>
      <c r="AH64" s="350"/>
      <c r="AI64" s="350"/>
      <c r="AJ64" s="350"/>
      <c r="AK64" s="350"/>
      <c r="AL64" s="350"/>
    </row>
    <row r="65" spans="5:43" ht="16.5">
      <c r="E65" s="167" t="s">
        <v>220</v>
      </c>
      <c r="F65" s="352"/>
      <c r="G65" s="353"/>
      <c r="H65" s="354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6"/>
      <c r="T65" s="355"/>
      <c r="U65" s="355"/>
      <c r="V65" s="355"/>
      <c r="W65" s="355"/>
      <c r="X65" s="355"/>
      <c r="Y65" s="355"/>
      <c r="Z65" s="357"/>
      <c r="AA65" s="357"/>
      <c r="AB65" s="357"/>
      <c r="AC65" s="358"/>
      <c r="AD65" s="357"/>
      <c r="AE65" s="357"/>
      <c r="AF65" s="357"/>
      <c r="AG65" s="357"/>
      <c r="AH65" s="357"/>
      <c r="AI65" s="357"/>
      <c r="AJ65" s="357"/>
      <c r="AK65" s="357"/>
      <c r="AL65" s="357"/>
      <c r="AN65" s="134" t="s">
        <v>220</v>
      </c>
    </row>
    <row r="66" spans="5:43" ht="16.5">
      <c r="E66" s="252" t="s">
        <v>271</v>
      </c>
      <c r="F66" s="294" t="s">
        <v>221</v>
      </c>
      <c r="G66" s="295">
        <v>2.63</v>
      </c>
      <c r="H66" s="296">
        <v>6985.2618562572006</v>
      </c>
      <c r="I66" s="297">
        <v>33.40034696291962</v>
      </c>
      <c r="J66" s="297">
        <v>31.681112817754066</v>
      </c>
      <c r="K66" s="297">
        <v>28.573025246981341</v>
      </c>
      <c r="L66" s="297">
        <v>28.943669426486711</v>
      </c>
      <c r="M66" s="297">
        <v>29.764452840026806</v>
      </c>
      <c r="N66" s="297">
        <v>29.263660483417652</v>
      </c>
      <c r="O66" s="297">
        <v>29.875889504081389</v>
      </c>
      <c r="P66" s="297">
        <v>28.039505178093229</v>
      </c>
      <c r="Q66" s="297">
        <v>25.455445680108589</v>
      </c>
      <c r="R66" s="297">
        <v>24.009793919984652</v>
      </c>
      <c r="S66" s="298">
        <v>29.222222222222221</v>
      </c>
      <c r="T66" s="297">
        <v>27.978723404255319</v>
      </c>
      <c r="U66" s="297">
        <v>23.909090909090907</v>
      </c>
      <c r="V66" s="297">
        <v>25.047619047619047</v>
      </c>
      <c r="W66" s="297">
        <v>25.288461538461537</v>
      </c>
      <c r="X66" s="297">
        <v>22.478632478632477</v>
      </c>
      <c r="Y66" s="297">
        <v>22.869565217391301</v>
      </c>
      <c r="Z66" s="297">
        <v>20.546875</v>
      </c>
      <c r="AA66" s="297">
        <v>21.382113821138212</v>
      </c>
      <c r="AB66" s="279">
        <v>19.774436090225564</v>
      </c>
      <c r="AC66" s="299">
        <v>3.6501901140684412E-2</v>
      </c>
      <c r="AD66" s="300">
        <v>3.6882129277566546E-2</v>
      </c>
      <c r="AE66" s="300">
        <v>3.8403041825095061E-2</v>
      </c>
      <c r="AF66" s="300">
        <v>4.1825095057034217E-2</v>
      </c>
      <c r="AG66" s="300">
        <v>4.2205323193916351E-2</v>
      </c>
      <c r="AH66" s="300">
        <v>4.2205323193916351E-2</v>
      </c>
      <c r="AI66" s="300">
        <v>4.1825095057034217E-2</v>
      </c>
      <c r="AJ66" s="300">
        <v>4.2965779467680612E-2</v>
      </c>
      <c r="AK66" s="300">
        <v>4.5627376425855515E-2</v>
      </c>
      <c r="AL66" s="300">
        <v>4.8288973384030418E-2</v>
      </c>
      <c r="AN66" s="134" t="s">
        <v>300</v>
      </c>
      <c r="AP66" s="136" t="s">
        <v>216</v>
      </c>
      <c r="AQ66" s="136" t="s">
        <v>217</v>
      </c>
    </row>
    <row r="67" spans="5:43" ht="16.5">
      <c r="E67" s="241" t="s">
        <v>272</v>
      </c>
      <c r="F67" s="288" t="s">
        <v>222</v>
      </c>
      <c r="G67" s="289">
        <v>89.9</v>
      </c>
      <c r="H67" s="290">
        <v>24136.379937974027</v>
      </c>
      <c r="I67" s="287">
        <v>61.48180817222859</v>
      </c>
      <c r="J67" s="287">
        <v>54.605148362676893</v>
      </c>
      <c r="K67" s="287">
        <v>47.989214459242184</v>
      </c>
      <c r="L67" s="287">
        <v>43.121728129309119</v>
      </c>
      <c r="M67" s="287">
        <v>39.988402998359902</v>
      </c>
      <c r="N67" s="287">
        <v>34.959804600207619</v>
      </c>
      <c r="O67" s="287">
        <v>31.633541119712781</v>
      </c>
      <c r="P67" s="287">
        <v>29.716457841483983</v>
      </c>
      <c r="Q67" s="287">
        <v>28.541276015656635</v>
      </c>
      <c r="R67" s="287">
        <v>26.437366219026671</v>
      </c>
      <c r="S67" s="291">
        <v>79.557522123893804</v>
      </c>
      <c r="T67" s="287">
        <v>72.5</v>
      </c>
      <c r="U67" s="287">
        <v>61.365187713310583</v>
      </c>
      <c r="V67" s="287">
        <v>54.484848484848484</v>
      </c>
      <c r="W67" s="287">
        <v>45.867346938775512</v>
      </c>
      <c r="X67" s="287">
        <v>40.86363636363636</v>
      </c>
      <c r="Y67" s="287">
        <v>35.745526838966207</v>
      </c>
      <c r="Z67" s="287" t="e">
        <v>#VALUE!</v>
      </c>
      <c r="AA67" s="287">
        <v>16.586715867158674</v>
      </c>
      <c r="AB67" s="287">
        <v>29.379084967320264</v>
      </c>
      <c r="AC67" s="301">
        <v>1.2135706340378196E-2</v>
      </c>
      <c r="AD67" s="302">
        <v>1.4104560622914349E-2</v>
      </c>
      <c r="AE67" s="302">
        <v>1.6229143492769743E-2</v>
      </c>
      <c r="AF67" s="302">
        <v>1.8286985539488321E-2</v>
      </c>
      <c r="AG67" s="302">
        <v>2.0211345939933255E-2</v>
      </c>
      <c r="AH67" s="302">
        <v>2.24916573971079E-2</v>
      </c>
      <c r="AI67" s="302">
        <v>2.4905450500556169E-2</v>
      </c>
      <c r="AJ67" s="302">
        <v>2.7830923248053394E-2</v>
      </c>
      <c r="AK67" s="302">
        <v>3.0100111234705226E-2</v>
      </c>
      <c r="AL67" s="302">
        <v>3.2680756395995554E-2</v>
      </c>
      <c r="AN67" s="134" t="s">
        <v>301</v>
      </c>
      <c r="AP67" s="136" t="s">
        <v>216</v>
      </c>
      <c r="AQ67" s="136" t="s">
        <v>217</v>
      </c>
    </row>
    <row r="68" spans="5:43" ht="16.5">
      <c r="E68" s="252" t="s">
        <v>254</v>
      </c>
      <c r="F68" s="294" t="s">
        <v>223</v>
      </c>
      <c r="G68" s="295">
        <v>5.25</v>
      </c>
      <c r="H68" s="296">
        <v>3920.5547277600026</v>
      </c>
      <c r="I68" s="297">
        <v>31.914387471189031</v>
      </c>
      <c r="J68" s="297">
        <v>30.017733095177341</v>
      </c>
      <c r="K68" s="297">
        <v>28.891956782713084</v>
      </c>
      <c r="L68" s="297">
        <v>28.319570534424653</v>
      </c>
      <c r="M68" s="297">
        <v>27.158021392843402</v>
      </c>
      <c r="N68" s="297">
        <v>25.891146381415812</v>
      </c>
      <c r="O68" s="297">
        <v>23.643189697817142</v>
      </c>
      <c r="P68" s="297">
        <v>21.550957987298485</v>
      </c>
      <c r="Q68" s="297">
        <v>19.816861586838115</v>
      </c>
      <c r="R68" s="297">
        <v>19.21283901344491</v>
      </c>
      <c r="S68" s="298">
        <v>40.38461538461538</v>
      </c>
      <c r="T68" s="297">
        <v>35</v>
      </c>
      <c r="U68" s="297">
        <v>29.166666666666668</v>
      </c>
      <c r="V68" s="297">
        <v>29.166666666666668</v>
      </c>
      <c r="W68" s="297">
        <v>29.166666666666668</v>
      </c>
      <c r="X68" s="297">
        <v>25</v>
      </c>
      <c r="Y68" s="297">
        <v>22.826086956521738</v>
      </c>
      <c r="Z68" s="297">
        <v>21.875</v>
      </c>
      <c r="AA68" s="297">
        <v>21</v>
      </c>
      <c r="AB68" s="279">
        <v>20.19230769230769</v>
      </c>
      <c r="AC68" s="299">
        <v>4.2095238095238095E-2</v>
      </c>
      <c r="AD68" s="300">
        <v>4.0190476190476193E-2</v>
      </c>
      <c r="AE68" s="300">
        <v>3.7714285714285714E-2</v>
      </c>
      <c r="AF68" s="300">
        <v>3.7523809523809522E-2</v>
      </c>
      <c r="AG68" s="300">
        <v>3.6571428571428567E-2</v>
      </c>
      <c r="AH68" s="300">
        <v>4.190476190476191E-2</v>
      </c>
      <c r="AI68" s="300">
        <v>4.59047619047619E-2</v>
      </c>
      <c r="AJ68" s="300">
        <v>4.9142857142857148E-2</v>
      </c>
      <c r="AK68" s="300">
        <v>5.2761904761904767E-2</v>
      </c>
      <c r="AL68" s="300">
        <v>5.5428571428571424E-2</v>
      </c>
      <c r="AN68" s="134" t="s">
        <v>302</v>
      </c>
      <c r="AP68" s="136" t="s">
        <v>211</v>
      </c>
      <c r="AQ68" s="136" t="s">
        <v>212</v>
      </c>
    </row>
    <row r="69" spans="5:43" ht="16.5">
      <c r="E69" s="241" t="s">
        <v>273</v>
      </c>
      <c r="F69" s="288" t="s">
        <v>265</v>
      </c>
      <c r="G69" s="289">
        <v>9.2100000000000009</v>
      </c>
      <c r="H69" s="290">
        <v>2270.4530506583728</v>
      </c>
      <c r="I69" s="287">
        <v>43.15099622852216</v>
      </c>
      <c r="J69" s="287">
        <v>36.622112863652298</v>
      </c>
      <c r="K69" s="287">
        <v>31.463167911346662</v>
      </c>
      <c r="L69" s="287">
        <v>24.924353053435116</v>
      </c>
      <c r="M69" s="287">
        <v>21.676947717842324</v>
      </c>
      <c r="N69" s="287">
        <v>19.549346140345758</v>
      </c>
      <c r="O69" s="287">
        <v>19.435061011904764</v>
      </c>
      <c r="P69" s="287">
        <v>19.054634663740952</v>
      </c>
      <c r="Q69" s="287">
        <v>18.814450135522243</v>
      </c>
      <c r="R69" s="287">
        <v>17.755103261560379</v>
      </c>
      <c r="S69" s="291">
        <v>48.473684210526322</v>
      </c>
      <c r="T69" s="287">
        <v>35.423076923076927</v>
      </c>
      <c r="U69" s="287">
        <v>30.700000000000003</v>
      </c>
      <c r="V69" s="287">
        <v>12.118421052631581</v>
      </c>
      <c r="W69" s="287">
        <v>21.418604651162791</v>
      </c>
      <c r="X69" s="287">
        <v>21.172413793103452</v>
      </c>
      <c r="Y69" s="287">
        <v>21.418604651162791</v>
      </c>
      <c r="Z69" s="287">
        <v>10.176795580110499</v>
      </c>
      <c r="AA69" s="287">
        <v>20.241758241758244</v>
      </c>
      <c r="AB69" s="287">
        <v>19.806451612903228</v>
      </c>
      <c r="AC69" s="301">
        <v>2.8230184581976112E-2</v>
      </c>
      <c r="AD69" s="302">
        <v>3.4636264929424537E-2</v>
      </c>
      <c r="AE69" s="302">
        <v>3.854505971769815E-2</v>
      </c>
      <c r="AF69" s="302">
        <v>4.5385450597176975E-2</v>
      </c>
      <c r="AG69" s="302">
        <v>5.0162866449511394E-2</v>
      </c>
      <c r="AH69" s="302">
        <v>5.3637350705754615E-2</v>
      </c>
      <c r="AI69" s="302">
        <v>5.4940282301845819E-2</v>
      </c>
      <c r="AJ69" s="302">
        <v>5.6786102062975026E-2</v>
      </c>
      <c r="AK69" s="302">
        <v>5.7328990228013028E-2</v>
      </c>
      <c r="AL69" s="302">
        <v>6.004343105320304E-2</v>
      </c>
      <c r="AN69" s="134" t="s">
        <v>303</v>
      </c>
      <c r="AP69" s="136" t="s">
        <v>216</v>
      </c>
      <c r="AQ69" s="136" t="s">
        <v>217</v>
      </c>
    </row>
    <row r="70" spans="5:43" ht="16.5">
      <c r="E70" s="252" t="s">
        <v>274</v>
      </c>
      <c r="F70" s="294" t="s">
        <v>264</v>
      </c>
      <c r="G70" s="295">
        <v>3.96</v>
      </c>
      <c r="H70" s="296">
        <v>31267.165036768631</v>
      </c>
      <c r="I70" s="297" t="s">
        <v>275</v>
      </c>
      <c r="J70" s="297" t="s">
        <v>275</v>
      </c>
      <c r="K70" s="297" t="s">
        <v>275</v>
      </c>
      <c r="L70" s="297">
        <v>19.701321568060177</v>
      </c>
      <c r="M70" s="297">
        <v>18.471929551401228</v>
      </c>
      <c r="N70" s="297">
        <v>18.484695439739415</v>
      </c>
      <c r="O70" s="297">
        <v>18.13035623003195</v>
      </c>
      <c r="P70" s="297">
        <v>17.626928158307258</v>
      </c>
      <c r="Q70" s="297">
        <v>17.196368181818183</v>
      </c>
      <c r="R70" s="297">
        <v>17.013065291982894</v>
      </c>
      <c r="S70" s="298" t="e">
        <v>#VALUE!</v>
      </c>
      <c r="T70" s="297" t="e">
        <v>#VALUE!</v>
      </c>
      <c r="U70" s="297" t="e">
        <v>#VALUE!</v>
      </c>
      <c r="V70" s="297">
        <v>18.082191780821919</v>
      </c>
      <c r="W70" s="297">
        <v>17.522123893805308</v>
      </c>
      <c r="X70" s="297">
        <v>17.068965517241377</v>
      </c>
      <c r="Y70" s="297">
        <v>16.363636363636363</v>
      </c>
      <c r="Z70" s="297">
        <v>15.776892430278885</v>
      </c>
      <c r="AA70" s="297">
        <v>15.652173913043478</v>
      </c>
      <c r="AB70" s="279">
        <v>15.348837209302324</v>
      </c>
      <c r="AC70" s="299" t="e">
        <v>#VALUE!</v>
      </c>
      <c r="AD70" s="300" t="e">
        <v>#VALUE!</v>
      </c>
      <c r="AE70" s="300" t="e">
        <v>#VALUE!</v>
      </c>
      <c r="AF70" s="300">
        <v>5.126262626262626E-2</v>
      </c>
      <c r="AG70" s="300">
        <v>5.2777777777777778E-2</v>
      </c>
      <c r="AH70" s="300">
        <v>5.353535353535354E-2</v>
      </c>
      <c r="AI70" s="300">
        <v>5.5050505050505051E-2</v>
      </c>
      <c r="AJ70" s="300">
        <v>5.5808080808080814E-2</v>
      </c>
      <c r="AK70" s="300">
        <v>5.7575757575757579E-2</v>
      </c>
      <c r="AL70" s="300">
        <v>5.808080808080808E-2</v>
      </c>
      <c r="AN70" s="134" t="s">
        <v>304</v>
      </c>
      <c r="AP70" s="136" t="s">
        <v>211</v>
      </c>
      <c r="AQ70" s="136" t="s">
        <v>212</v>
      </c>
    </row>
    <row r="71" spans="5:43" ht="16.5">
      <c r="E71" s="179" t="s">
        <v>276</v>
      </c>
      <c r="F71" s="269" t="s">
        <v>263</v>
      </c>
      <c r="G71" s="283" t="s">
        <v>275</v>
      </c>
      <c r="H71" s="284" t="e">
        <v>#VALUE!</v>
      </c>
      <c r="I71" s="272" t="s">
        <v>275</v>
      </c>
      <c r="J71" s="272" t="s">
        <v>275</v>
      </c>
      <c r="K71" s="272" t="s">
        <v>275</v>
      </c>
      <c r="L71" s="272" t="s">
        <v>275</v>
      </c>
      <c r="M71" s="272" t="s">
        <v>275</v>
      </c>
      <c r="N71" s="272" t="s">
        <v>275</v>
      </c>
      <c r="O71" s="272" t="s">
        <v>275</v>
      </c>
      <c r="P71" s="272" t="s">
        <v>275</v>
      </c>
      <c r="Q71" s="272" t="s">
        <v>275</v>
      </c>
      <c r="R71" s="272" t="s">
        <v>275</v>
      </c>
      <c r="S71" s="273" t="e">
        <v>#VALUE!</v>
      </c>
      <c r="T71" s="272" t="e">
        <v>#VALUE!</v>
      </c>
      <c r="U71" s="272" t="e">
        <v>#VALUE!</v>
      </c>
      <c r="V71" s="272" t="e">
        <v>#VALUE!</v>
      </c>
      <c r="W71" s="272" t="e">
        <v>#VALUE!</v>
      </c>
      <c r="X71" s="272" t="e">
        <v>#VALUE!</v>
      </c>
      <c r="Y71" s="272" t="e">
        <v>#VALUE!</v>
      </c>
      <c r="Z71" s="272" t="e">
        <v>#VALUE!</v>
      </c>
      <c r="AA71" s="272" t="e">
        <v>#VALUE!</v>
      </c>
      <c r="AB71" s="272" t="e">
        <v>#VALUE!</v>
      </c>
      <c r="AC71" s="303" t="e">
        <v>#VALUE!</v>
      </c>
      <c r="AD71" s="304" t="e">
        <v>#VALUE!</v>
      </c>
      <c r="AE71" s="304" t="e">
        <v>#VALUE!</v>
      </c>
      <c r="AF71" s="304" t="e">
        <v>#VALUE!</v>
      </c>
      <c r="AG71" s="304" t="e">
        <v>#VALUE!</v>
      </c>
      <c r="AH71" s="304" t="e">
        <v>#VALUE!</v>
      </c>
      <c r="AI71" s="304" t="e">
        <v>#VALUE!</v>
      </c>
      <c r="AJ71" s="304" t="e">
        <v>#VALUE!</v>
      </c>
      <c r="AK71" s="304" t="e">
        <v>#VALUE!</v>
      </c>
      <c r="AL71" s="304" t="e">
        <v>#VALUE!</v>
      </c>
      <c r="AN71" s="134" t="s">
        <v>305</v>
      </c>
      <c r="AP71" s="136" t="s">
        <v>216</v>
      </c>
      <c r="AQ71" s="136" t="s">
        <v>217</v>
      </c>
    </row>
    <row r="72" spans="5:43" ht="16.5">
      <c r="E72" s="252" t="s">
        <v>277</v>
      </c>
      <c r="F72" s="294" t="s">
        <v>262</v>
      </c>
      <c r="G72" s="295">
        <v>2.54</v>
      </c>
      <c r="H72" s="296">
        <v>14226.984337808139</v>
      </c>
      <c r="I72" s="297" t="s">
        <v>275</v>
      </c>
      <c r="J72" s="297">
        <v>56.094888665997992</v>
      </c>
      <c r="K72" s="297">
        <v>43.020464615384618</v>
      </c>
      <c r="L72" s="297">
        <v>45.814140414572286</v>
      </c>
      <c r="M72" s="297">
        <v>42.411436388840855</v>
      </c>
      <c r="N72" s="297">
        <v>15.148050920910075</v>
      </c>
      <c r="O72" s="297">
        <v>15.559371244157578</v>
      </c>
      <c r="P72" s="297">
        <v>15.76123644586632</v>
      </c>
      <c r="Q72" s="297">
        <v>15.813359919562707</v>
      </c>
      <c r="R72" s="297">
        <v>16.174435378729775</v>
      </c>
      <c r="S72" s="298" t="e">
        <v>#VALUE!</v>
      </c>
      <c r="T72" s="297">
        <v>27.608695652173914</v>
      </c>
      <c r="U72" s="297">
        <v>15.875</v>
      </c>
      <c r="V72" s="297">
        <v>15.301204819277109</v>
      </c>
      <c r="W72" s="297">
        <v>13.879781420765028</v>
      </c>
      <c r="X72" s="297">
        <v>13.025641025641026</v>
      </c>
      <c r="Y72" s="297">
        <v>13.58288770053476</v>
      </c>
      <c r="Z72" s="297">
        <v>14.033149171270718</v>
      </c>
      <c r="AA72" s="297">
        <v>14.033149171270718</v>
      </c>
      <c r="AB72" s="279">
        <v>14.111111111111112</v>
      </c>
      <c r="AC72" s="299" t="e">
        <v>#VALUE!</v>
      </c>
      <c r="AD72" s="300">
        <v>3.1889763779527555E-2</v>
      </c>
      <c r="AE72" s="300">
        <v>5.4724409448818907E-2</v>
      </c>
      <c r="AF72" s="300">
        <v>5.9448818897637798E-2</v>
      </c>
      <c r="AG72" s="300">
        <v>6.6535433070866151E-2</v>
      </c>
      <c r="AH72" s="300">
        <v>7.0078740157480321E-2</v>
      </c>
      <c r="AI72" s="300">
        <v>6.811023622047245E-2</v>
      </c>
      <c r="AJ72" s="300">
        <v>6.3385826771653553E-2</v>
      </c>
      <c r="AK72" s="300">
        <v>6.2992125984251968E-2</v>
      </c>
      <c r="AL72" s="300">
        <v>6.2204724409448825E-2</v>
      </c>
      <c r="AN72" s="134" t="s">
        <v>306</v>
      </c>
      <c r="AP72" s="136" t="s">
        <v>211</v>
      </c>
      <c r="AQ72" s="136" t="s">
        <v>212</v>
      </c>
    </row>
  </sheetData>
  <pageMargins left="0.25" right="0.25" top="0.5" bottom="0.5" header="0.5" footer="0.5"/>
  <pageSetup paperSize="9" scale="45" orientation="portrait" r:id="rId1"/>
  <headerFooter alignWithMargins="0"/>
  <colBreaks count="1" manualBreakCount="1">
    <brk id="3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>
      <selection activeCell="G14" sqref="G1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Consensus Non-BTG Coverage</vt:lpstr>
      <vt:lpstr>Comps</vt:lpstr>
      <vt:lpstr>Bloomberg</vt:lpstr>
      <vt:lpstr>Global Properties</vt:lpstr>
      <vt:lpstr>Disclaimers</vt:lpstr>
      <vt:lpstr>'Global Properties'!BloombergCode</vt:lpstr>
      <vt:lpstr>'Global Properties'!BloombergItem</vt:lpstr>
      <vt:lpstr>'Global Properties'!COMP2</vt:lpstr>
      <vt:lpstr>'Global Properties'!CompanyCode</vt:lpstr>
      <vt:lpstr>'Global Properties'!Database</vt:lpstr>
      <vt:lpstr>'Global Properties'!Index</vt:lpstr>
      <vt:lpstr>'Global Properties'!PeriodEnd</vt:lpstr>
      <vt:lpstr>Comps!Print_Area</vt:lpstr>
      <vt:lpstr>'Global Properties'!Print_Area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Alvaro</dc:creator>
  <cp:lastModifiedBy>Cruz, Mariana</cp:lastModifiedBy>
  <cp:lastPrinted>2016-04-12T22:31:17Z</cp:lastPrinted>
  <dcterms:created xsi:type="dcterms:W3CDTF">2013-06-17T12:56:13Z</dcterms:created>
  <dcterms:modified xsi:type="dcterms:W3CDTF">2019-11-04T22:14:42Z</dcterms:modified>
</cp:coreProperties>
</file>