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martinez\OneDrive - PLANIGRUPO\06 - Información BMV - CNBV\2022 1T\"/>
    </mc:Choice>
  </mc:AlternateContent>
  <xr:revisionPtr revIDLastSave="0" documentId="13_ncr:1_{612863A8-4B47-49A2-BCD9-7F311694E1CB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Control" sheetId="2" r:id="rId1"/>
    <sheet name="Ingresos PR" sheetId="1" r:id="rId2"/>
    <sheet name="Comparativo" sheetId="6" r:id="rId3"/>
    <sheet name="Ingresos Arrendamiento" sheetId="3" r:id="rId4"/>
    <sheet name="NOI" sheetId="4" r:id="rId5"/>
    <sheet name="Hoja1" sheetId="7" r:id="rId6"/>
    <sheet name="Hoja5" sheetId="5" state="hidden" r:id="rId7"/>
  </sheets>
  <externalReferences>
    <externalReference r:id="rId8"/>
  </externalReferences>
  <definedNames>
    <definedName name="CY">Control!$C$5</definedName>
    <definedName name="PY">Control!$C$7</definedName>
    <definedName name="PY_QUARTER">Control!$C$11</definedName>
    <definedName name="QUARTER">Control!$C$9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K7" i="1" l="1"/>
  <c r="K41" i="1" l="1"/>
  <c r="K40" i="1"/>
  <c r="K39" i="1"/>
  <c r="J23" i="1" l="1"/>
  <c r="J10" i="1"/>
  <c r="J7" i="1"/>
  <c r="J40" i="1"/>
  <c r="J39" i="1"/>
  <c r="H40" i="1"/>
  <c r="H39" i="1"/>
  <c r="AO44" i="3"/>
  <c r="AI44" i="3" s="1"/>
  <c r="AN44" i="3"/>
  <c r="AM44" i="3"/>
  <c r="AL44" i="3"/>
  <c r="AH44" i="3"/>
  <c r="AG44" i="3"/>
  <c r="AF44" i="3"/>
  <c r="AO43" i="3"/>
  <c r="AN43" i="3"/>
  <c r="AM43" i="3"/>
  <c r="AL43" i="3"/>
  <c r="AF43" i="3" s="1"/>
  <c r="AJ43" i="3" s="1"/>
  <c r="AI43" i="3"/>
  <c r="AH43" i="3"/>
  <c r="AG43" i="3"/>
  <c r="AC44" i="3"/>
  <c r="AA44" i="3"/>
  <c r="AA43" i="3"/>
  <c r="AC43" i="3" s="1"/>
  <c r="U45" i="3"/>
  <c r="U44" i="3"/>
  <c r="U43" i="3"/>
  <c r="AJ44" i="3" l="1"/>
  <c r="BY6" i="3" l="1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5" i="3"/>
  <c r="AF46" i="4" l="1"/>
  <c r="AE46" i="4"/>
  <c r="AD46" i="4"/>
  <c r="AC46" i="4"/>
  <c r="W46" i="4" s="1"/>
  <c r="BF46" i="4"/>
  <c r="BE46" i="4"/>
  <c r="BD46" i="4"/>
  <c r="BC46" i="4"/>
  <c r="O47" i="6"/>
  <c r="P47" i="6"/>
  <c r="O48" i="6"/>
  <c r="R49" i="6"/>
  <c r="Q49" i="6"/>
  <c r="P49" i="6"/>
  <c r="O49" i="6"/>
  <c r="R48" i="6"/>
  <c r="Q48" i="6"/>
  <c r="P48" i="6"/>
  <c r="R47" i="6"/>
  <c r="Q47" i="6"/>
  <c r="O34" i="6"/>
  <c r="O33" i="6"/>
  <c r="O27" i="6"/>
  <c r="O22" i="6"/>
  <c r="O16" i="6"/>
  <c r="O12" i="6"/>
  <c r="O11" i="6"/>
  <c r="O10" i="6"/>
  <c r="O9" i="6"/>
  <c r="Q30" i="6"/>
  <c r="P8" i="6"/>
  <c r="R39" i="6"/>
  <c r="Q39" i="6"/>
  <c r="P39" i="6"/>
  <c r="O39" i="6"/>
  <c r="R38" i="6"/>
  <c r="Q38" i="6"/>
  <c r="P38" i="6"/>
  <c r="O38" i="6"/>
  <c r="R37" i="6"/>
  <c r="Q37" i="6"/>
  <c r="P37" i="6"/>
  <c r="O37" i="6"/>
  <c r="R36" i="6"/>
  <c r="Q36" i="6"/>
  <c r="P36" i="6"/>
  <c r="O36" i="6"/>
  <c r="R35" i="6"/>
  <c r="Q35" i="6"/>
  <c r="P35" i="6"/>
  <c r="O35" i="6"/>
  <c r="R34" i="6"/>
  <c r="Q34" i="6"/>
  <c r="P34" i="6"/>
  <c r="R33" i="6"/>
  <c r="Q33" i="6"/>
  <c r="P33" i="6"/>
  <c r="R32" i="6"/>
  <c r="Q32" i="6"/>
  <c r="P32" i="6"/>
  <c r="O32" i="6"/>
  <c r="R31" i="6"/>
  <c r="Q31" i="6"/>
  <c r="P31" i="6"/>
  <c r="O31" i="6"/>
  <c r="R30" i="6"/>
  <c r="P30" i="6"/>
  <c r="O30" i="6"/>
  <c r="R29" i="6"/>
  <c r="Q29" i="6"/>
  <c r="P29" i="6"/>
  <c r="O29" i="6"/>
  <c r="R28" i="6"/>
  <c r="Q28" i="6"/>
  <c r="P28" i="6"/>
  <c r="O28" i="6"/>
  <c r="R27" i="6"/>
  <c r="Q27" i="6"/>
  <c r="P27" i="6"/>
  <c r="R26" i="6"/>
  <c r="Q26" i="6"/>
  <c r="P26" i="6"/>
  <c r="O26" i="6"/>
  <c r="R25" i="6"/>
  <c r="Q25" i="6"/>
  <c r="P25" i="6"/>
  <c r="O25" i="6"/>
  <c r="R24" i="6"/>
  <c r="Q24" i="6"/>
  <c r="P24" i="6"/>
  <c r="O24" i="6"/>
  <c r="R23" i="6"/>
  <c r="Q23" i="6"/>
  <c r="P23" i="6"/>
  <c r="O23" i="6"/>
  <c r="R22" i="6"/>
  <c r="Q22" i="6"/>
  <c r="P22" i="6"/>
  <c r="R21" i="6"/>
  <c r="Q21" i="6"/>
  <c r="P21" i="6"/>
  <c r="O21" i="6"/>
  <c r="R20" i="6"/>
  <c r="Q20" i="6"/>
  <c r="P20" i="6"/>
  <c r="O20" i="6"/>
  <c r="R19" i="6"/>
  <c r="Q19" i="6"/>
  <c r="P19" i="6"/>
  <c r="O19" i="6"/>
  <c r="R18" i="6"/>
  <c r="Q18" i="6"/>
  <c r="P18" i="6"/>
  <c r="O18" i="6"/>
  <c r="R17" i="6"/>
  <c r="Q17" i="6"/>
  <c r="P17" i="6"/>
  <c r="O17" i="6"/>
  <c r="R16" i="6"/>
  <c r="Q16" i="6"/>
  <c r="P16" i="6"/>
  <c r="R15" i="6"/>
  <c r="Q15" i="6"/>
  <c r="P15" i="6"/>
  <c r="O15" i="6"/>
  <c r="R14" i="6"/>
  <c r="Q14" i="6"/>
  <c r="P14" i="6"/>
  <c r="O14" i="6"/>
  <c r="R13" i="6"/>
  <c r="Q13" i="6"/>
  <c r="P13" i="6"/>
  <c r="O13" i="6"/>
  <c r="R12" i="6"/>
  <c r="Q12" i="6"/>
  <c r="P12" i="6"/>
  <c r="R11" i="6"/>
  <c r="Q11" i="6"/>
  <c r="P11" i="6"/>
  <c r="R10" i="6"/>
  <c r="Q10" i="6"/>
  <c r="P10" i="6"/>
  <c r="R9" i="6"/>
  <c r="Q9" i="6"/>
  <c r="P9" i="6"/>
  <c r="R8" i="6"/>
  <c r="Q8" i="6"/>
  <c r="O8" i="6"/>
  <c r="R7" i="6"/>
  <c r="Q7" i="6"/>
  <c r="P7" i="6"/>
  <c r="O7" i="6"/>
  <c r="T46" i="3"/>
  <c r="X46" i="4" l="1"/>
  <c r="Z46" i="4"/>
  <c r="Y46" i="4"/>
  <c r="R50" i="6"/>
  <c r="Q50" i="6"/>
  <c r="P50" i="6"/>
  <c r="O50" i="6"/>
  <c r="S49" i="6"/>
  <c r="S48" i="6"/>
  <c r="S47" i="6"/>
  <c r="S38" i="6"/>
  <c r="S17" i="6"/>
  <c r="S19" i="6"/>
  <c r="S21" i="6"/>
  <c r="S32" i="6"/>
  <c r="S13" i="6"/>
  <c r="S15" i="6"/>
  <c r="S35" i="6"/>
  <c r="S28" i="6"/>
  <c r="S37" i="6"/>
  <c r="S39" i="6"/>
  <c r="S24" i="6"/>
  <c r="S26" i="6"/>
  <c r="S18" i="6"/>
  <c r="S14" i="6"/>
  <c r="S16" i="6"/>
  <c r="S20" i="6"/>
  <c r="S31" i="6"/>
  <c r="S29" i="6"/>
  <c r="S36" i="6"/>
  <c r="S23" i="6"/>
  <c r="S25" i="6"/>
  <c r="S12" i="6"/>
  <c r="S11" i="6"/>
  <c r="S22" i="6"/>
  <c r="S27" i="6"/>
  <c r="S8" i="6"/>
  <c r="S33" i="6"/>
  <c r="S9" i="6"/>
  <c r="S34" i="6"/>
  <c r="S10" i="6"/>
  <c r="S7" i="6"/>
  <c r="S30" i="6"/>
  <c r="S50" i="6" l="1"/>
  <c r="S40" i="6" l="1"/>
  <c r="R40" i="6"/>
  <c r="Q40" i="6"/>
  <c r="P40" i="6"/>
  <c r="O40" i="6"/>
  <c r="T44" i="4" l="1"/>
  <c r="S44" i="4"/>
  <c r="S46" i="3" l="1"/>
  <c r="AL6" i="3" l="1"/>
  <c r="AM6" i="3"/>
  <c r="N49" i="4" l="1"/>
  <c r="N44" i="4"/>
  <c r="M49" i="4"/>
  <c r="M44" i="4"/>
  <c r="N52" i="3" l="1"/>
  <c r="N46" i="3"/>
  <c r="M52" i="3"/>
  <c r="M46" i="3"/>
  <c r="L42" i="6" l="1"/>
  <c r="BY51" i="3" l="1"/>
  <c r="BX51" i="3"/>
  <c r="BW51" i="3"/>
  <c r="BV51" i="3"/>
  <c r="BP51" i="3" s="1"/>
  <c r="BY50" i="3"/>
  <c r="BX50" i="3"/>
  <c r="BW50" i="3"/>
  <c r="BV50" i="3"/>
  <c r="BP50" i="3" s="1"/>
  <c r="BY49" i="3"/>
  <c r="BX49" i="3"/>
  <c r="BW49" i="3"/>
  <c r="BV49" i="3"/>
  <c r="BP49" i="3" s="1"/>
  <c r="BY45" i="3"/>
  <c r="BY42" i="3"/>
  <c r="BY41" i="3"/>
  <c r="BY40" i="3"/>
  <c r="BY39" i="3"/>
  <c r="BY38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Y9" i="3"/>
  <c r="BY8" i="3"/>
  <c r="BY7" i="3"/>
  <c r="BX45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W45" i="3"/>
  <c r="BW42" i="3"/>
  <c r="BW41" i="3"/>
  <c r="BW40" i="3"/>
  <c r="BW39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V45" i="3"/>
  <c r="BV42" i="3"/>
  <c r="BV41" i="3"/>
  <c r="BV40" i="3"/>
  <c r="BV39" i="3"/>
  <c r="BV38" i="3"/>
  <c r="BV37" i="3"/>
  <c r="BV36" i="3"/>
  <c r="BV35" i="3"/>
  <c r="BV34" i="3"/>
  <c r="BV33" i="3"/>
  <c r="BV32" i="3"/>
  <c r="BV31" i="3"/>
  <c r="BV30" i="3"/>
  <c r="BV29" i="3"/>
  <c r="BV28" i="3"/>
  <c r="BV27" i="3"/>
  <c r="BV26" i="3"/>
  <c r="BV24" i="3"/>
  <c r="BV23" i="3"/>
  <c r="BV22" i="3"/>
  <c r="BV21" i="3"/>
  <c r="BV20" i="3"/>
  <c r="BV19" i="3"/>
  <c r="BV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R50" i="3" l="1"/>
  <c r="BQ51" i="3"/>
  <c r="BS49" i="3"/>
  <c r="BQ49" i="3"/>
  <c r="BS50" i="3"/>
  <c r="BR49" i="3"/>
  <c r="BQ50" i="3"/>
  <c r="BR51" i="3"/>
  <c r="BS51" i="3"/>
  <c r="BS6" i="3"/>
  <c r="BT51" i="3" l="1"/>
  <c r="BT50" i="3"/>
  <c r="BT49" i="3"/>
  <c r="BJ59" i="3"/>
  <c r="BI59" i="3"/>
  <c r="BH59" i="3"/>
  <c r="BG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BJ58" i="3"/>
  <c r="BI58" i="3"/>
  <c r="BH58" i="3"/>
  <c r="BG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BJ57" i="3"/>
  <c r="BI57" i="3"/>
  <c r="BI60" i="3" s="1"/>
  <c r="BH57" i="3"/>
  <c r="BG57" i="3"/>
  <c r="BD57" i="3"/>
  <c r="BD60" i="3" s="1"/>
  <c r="BC57" i="3"/>
  <c r="BC60" i="3" s="1"/>
  <c r="BB57" i="3"/>
  <c r="BB60" i="3" s="1"/>
  <c r="BA57" i="3"/>
  <c r="AZ57" i="3"/>
  <c r="AZ60" i="3" s="1"/>
  <c r="AY57" i="3"/>
  <c r="AY60" i="3" s="1"/>
  <c r="AX57" i="3"/>
  <c r="AX60" i="3" s="1"/>
  <c r="AW57" i="3"/>
  <c r="AV57" i="3"/>
  <c r="AV60" i="3" s="1"/>
  <c r="AU57" i="3"/>
  <c r="AU60" i="3" s="1"/>
  <c r="AT57" i="3"/>
  <c r="AT60" i="3" s="1"/>
  <c r="AS57" i="3"/>
  <c r="BJ52" i="3"/>
  <c r="BI52" i="3"/>
  <c r="BH52" i="3"/>
  <c r="BG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BK51" i="3"/>
  <c r="BE51" i="3"/>
  <c r="BK50" i="3"/>
  <c r="BE50" i="3"/>
  <c r="BK49" i="3"/>
  <c r="BE49" i="3"/>
  <c r="BJ46" i="3"/>
  <c r="BI46" i="3"/>
  <c r="BH46" i="3"/>
  <c r="BG46" i="3"/>
  <c r="BD46" i="3"/>
  <c r="BC46" i="3"/>
  <c r="BB46" i="3"/>
  <c r="BB62" i="3" s="1"/>
  <c r="BA46" i="3"/>
  <c r="AZ46" i="3"/>
  <c r="AY46" i="3"/>
  <c r="AY54" i="3" s="1"/>
  <c r="AX46" i="3"/>
  <c r="AW46" i="3"/>
  <c r="AV46" i="3"/>
  <c r="AU46" i="3"/>
  <c r="AS46" i="3"/>
  <c r="BK45" i="3"/>
  <c r="BK42" i="3"/>
  <c r="BK41" i="3"/>
  <c r="BK40" i="3"/>
  <c r="BK39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11" i="3"/>
  <c r="BK10" i="3"/>
  <c r="BK9" i="3"/>
  <c r="BK8" i="3"/>
  <c r="BK7" i="3"/>
  <c r="BK6" i="3"/>
  <c r="BK59" i="3" l="1"/>
  <c r="BG54" i="3"/>
  <c r="AX54" i="3"/>
  <c r="AV62" i="3"/>
  <c r="BD62" i="3"/>
  <c r="BE59" i="3"/>
  <c r="BM59" i="3" s="1"/>
  <c r="BE52" i="3"/>
  <c r="AS54" i="3"/>
  <c r="AT46" i="3"/>
  <c r="AT54" i="3" s="1"/>
  <c r="BV25" i="3"/>
  <c r="BW25" i="3"/>
  <c r="BX25" i="3"/>
  <c r="BY25" i="3"/>
  <c r="BM13" i="3"/>
  <c r="BM17" i="3"/>
  <c r="BM21" i="3"/>
  <c r="BH60" i="3"/>
  <c r="BG60" i="3"/>
  <c r="BK58" i="3"/>
  <c r="BI54" i="3"/>
  <c r="BM15" i="3"/>
  <c r="BM19" i="3"/>
  <c r="BM23" i="3"/>
  <c r="AZ54" i="3"/>
  <c r="BJ54" i="3"/>
  <c r="BJ60" i="3"/>
  <c r="BJ62" i="3" s="1"/>
  <c r="BA54" i="3"/>
  <c r="BE58" i="3"/>
  <c r="BM58" i="3" s="1"/>
  <c r="BK52" i="3"/>
  <c r="BA60" i="3"/>
  <c r="BA62" i="3" s="1"/>
  <c r="BH54" i="3"/>
  <c r="BM29" i="3"/>
  <c r="BE46" i="3"/>
  <c r="AW60" i="3"/>
  <c r="AW62" i="3" s="1"/>
  <c r="BE57" i="3"/>
  <c r="BM27" i="3"/>
  <c r="BM35" i="3"/>
  <c r="BM45" i="3"/>
  <c r="AS60" i="3"/>
  <c r="AS62" i="3" s="1"/>
  <c r="BM25" i="3"/>
  <c r="BM41" i="3"/>
  <c r="BM33" i="3"/>
  <c r="BM51" i="3"/>
  <c r="BK46" i="3"/>
  <c r="BM31" i="3"/>
  <c r="BM39" i="3"/>
  <c r="AU62" i="3"/>
  <c r="BC62" i="3"/>
  <c r="BM49" i="3"/>
  <c r="BM37" i="3"/>
  <c r="AW54" i="3"/>
  <c r="BM7" i="3"/>
  <c r="BM9" i="3"/>
  <c r="BM11" i="3"/>
  <c r="BB54" i="3"/>
  <c r="AX62" i="3"/>
  <c r="BG62" i="3"/>
  <c r="AU54" i="3"/>
  <c r="BC54" i="3"/>
  <c r="AY62" i="3"/>
  <c r="BH62" i="3"/>
  <c r="AV54" i="3"/>
  <c r="BD54" i="3"/>
  <c r="AZ62" i="3"/>
  <c r="BI62" i="3"/>
  <c r="BM6" i="3"/>
  <c r="BM8" i="3"/>
  <c r="BM10" i="3"/>
  <c r="BM12" i="3"/>
  <c r="BM14" i="3"/>
  <c r="BM16" i="3"/>
  <c r="BM18" i="3"/>
  <c r="BM20" i="3"/>
  <c r="BM22" i="3"/>
  <c r="BM24" i="3"/>
  <c r="BK57" i="3"/>
  <c r="BK60" i="3" s="1"/>
  <c r="BM26" i="3"/>
  <c r="BM28" i="3"/>
  <c r="BM30" i="3"/>
  <c r="BM32" i="3"/>
  <c r="BM34" i="3"/>
  <c r="BM36" i="3"/>
  <c r="BM38" i="3"/>
  <c r="BM40" i="3"/>
  <c r="BM42" i="3"/>
  <c r="BM50" i="3"/>
  <c r="AT62" i="3" l="1"/>
  <c r="BM52" i="3"/>
  <c r="BM57" i="3"/>
  <c r="BM60" i="3" s="1"/>
  <c r="BE60" i="3"/>
  <c r="BE62" i="3" s="1"/>
  <c r="BM46" i="3"/>
  <c r="BK62" i="3"/>
  <c r="BK54" i="3"/>
  <c r="BE54" i="3"/>
  <c r="BE48" i="4"/>
  <c r="AT55" i="4"/>
  <c r="AQ55" i="4"/>
  <c r="AP55" i="4"/>
  <c r="AL55" i="4"/>
  <c r="BE47" i="4"/>
  <c r="AT49" i="4"/>
  <c r="AP54" i="4"/>
  <c r="AM49" i="4"/>
  <c r="AI54" i="4"/>
  <c r="BF42" i="4"/>
  <c r="BF41" i="4"/>
  <c r="BF40" i="4"/>
  <c r="BF39" i="4"/>
  <c r="BF38" i="4"/>
  <c r="BE37" i="4"/>
  <c r="BF36" i="4"/>
  <c r="AU35" i="4"/>
  <c r="BF34" i="4"/>
  <c r="AU33" i="4"/>
  <c r="BF32" i="4"/>
  <c r="BF31" i="4"/>
  <c r="BF30" i="4"/>
  <c r="BE29" i="4"/>
  <c r="BF28" i="4"/>
  <c r="AU27" i="4"/>
  <c r="BF26" i="4"/>
  <c r="AU25" i="4"/>
  <c r="BF24" i="4"/>
  <c r="BF22" i="4"/>
  <c r="BE21" i="4"/>
  <c r="BF20" i="4"/>
  <c r="BE19" i="4"/>
  <c r="AU19" i="4"/>
  <c r="BF18" i="4"/>
  <c r="BF17" i="4"/>
  <c r="BD17" i="4"/>
  <c r="BF16" i="4"/>
  <c r="BE15" i="4"/>
  <c r="BF15" i="4"/>
  <c r="BF14" i="4"/>
  <c r="BE13" i="4"/>
  <c r="BF13" i="4"/>
  <c r="BF12" i="4"/>
  <c r="BE11" i="4"/>
  <c r="BF10" i="4"/>
  <c r="AU9" i="4"/>
  <c r="BF9" i="4"/>
  <c r="BF8" i="4"/>
  <c r="AS44" i="4"/>
  <c r="AM44" i="4"/>
  <c r="AU7" i="4"/>
  <c r="BF48" i="4"/>
  <c r="BF56" i="4" s="1"/>
  <c r="BC48" i="4"/>
  <c r="BC56" i="4" s="1"/>
  <c r="BF47" i="4"/>
  <c r="BF55" i="4" s="1"/>
  <c r="BC54" i="4"/>
  <c r="BF43" i="4"/>
  <c r="BE43" i="4"/>
  <c r="BD43" i="4"/>
  <c r="BC43" i="4"/>
  <c r="AW43" i="4" s="1"/>
  <c r="BE42" i="4"/>
  <c r="BE41" i="4"/>
  <c r="BC41" i="4"/>
  <c r="AW41" i="4" s="1"/>
  <c r="BC39" i="4"/>
  <c r="AW39" i="4" s="1"/>
  <c r="BC37" i="4"/>
  <c r="BC35" i="4"/>
  <c r="AW35" i="4" s="1"/>
  <c r="BC33" i="4"/>
  <c r="BC31" i="4"/>
  <c r="AW31" i="4" s="1"/>
  <c r="BC29" i="4"/>
  <c r="BC27" i="4"/>
  <c r="AW27" i="4" s="1"/>
  <c r="BC25" i="4"/>
  <c r="AW25" i="4" s="1"/>
  <c r="BF23" i="4"/>
  <c r="BE23" i="4"/>
  <c r="BD23" i="4"/>
  <c r="BC23" i="4"/>
  <c r="AW23" i="4" s="1"/>
  <c r="BC21" i="4"/>
  <c r="BC19" i="4"/>
  <c r="AW19" i="4" s="1"/>
  <c r="BC17" i="4"/>
  <c r="BC15" i="4"/>
  <c r="AW15" i="4" s="1"/>
  <c r="BC13" i="4"/>
  <c r="AW13" i="4" s="1"/>
  <c r="BC11" i="4"/>
  <c r="AW11" i="4" s="1"/>
  <c r="BC9" i="4"/>
  <c r="BC7" i="4"/>
  <c r="AW7" i="4" s="1"/>
  <c r="AT56" i="4"/>
  <c r="AS56" i="4"/>
  <c r="AR56" i="4"/>
  <c r="AQ56" i="4"/>
  <c r="AP56" i="4"/>
  <c r="AO56" i="4"/>
  <c r="AN56" i="4"/>
  <c r="AM56" i="4"/>
  <c r="AL56" i="4"/>
  <c r="AK56" i="4"/>
  <c r="AJ56" i="4"/>
  <c r="AI56" i="4"/>
  <c r="AS55" i="4"/>
  <c r="AR55" i="4"/>
  <c r="AO55" i="4"/>
  <c r="AN55" i="4"/>
  <c r="AM55" i="4"/>
  <c r="AK55" i="4"/>
  <c r="AJ55" i="4"/>
  <c r="AT54" i="4"/>
  <c r="AS54" i="4"/>
  <c r="AR54" i="4"/>
  <c r="AQ54" i="4"/>
  <c r="AO54" i="4"/>
  <c r="AN54" i="4"/>
  <c r="AK54" i="4"/>
  <c r="AJ54" i="4"/>
  <c r="AS49" i="4"/>
  <c r="AR49" i="4"/>
  <c r="AP49" i="4"/>
  <c r="AO49" i="4"/>
  <c r="AN49" i="4"/>
  <c r="AK49" i="4"/>
  <c r="AJ49" i="4"/>
  <c r="AU48" i="4"/>
  <c r="AT44" i="4"/>
  <c r="AR44" i="4"/>
  <c r="AQ44" i="4"/>
  <c r="AP44" i="4"/>
  <c r="AO44" i="4"/>
  <c r="AN44" i="4"/>
  <c r="AL44" i="4"/>
  <c r="AJ44" i="4"/>
  <c r="AU43" i="4"/>
  <c r="AU42" i="4"/>
  <c r="AU41" i="4"/>
  <c r="AW33" i="4"/>
  <c r="AU23" i="4"/>
  <c r="AU20" i="4"/>
  <c r="AU17" i="4"/>
  <c r="AU12" i="4"/>
  <c r="H4" i="6"/>
  <c r="AX23" i="4" l="1"/>
  <c r="AZ23" i="4"/>
  <c r="BM62" i="3"/>
  <c r="BM54" i="3"/>
  <c r="AX17" i="4"/>
  <c r="AZ41" i="4"/>
  <c r="AZ13" i="4"/>
  <c r="AZ43" i="4"/>
  <c r="AZ15" i="4"/>
  <c r="AZ42" i="4"/>
  <c r="BF49" i="4"/>
  <c r="BF54" i="4"/>
  <c r="BF57" i="4" s="1"/>
  <c r="AZ48" i="4"/>
  <c r="AZ56" i="4" s="1"/>
  <c r="AL54" i="4"/>
  <c r="AL57" i="4" s="1"/>
  <c r="AL59" i="4" s="1"/>
  <c r="AT57" i="4"/>
  <c r="AT59" i="4" s="1"/>
  <c r="AU46" i="4"/>
  <c r="AI49" i="4"/>
  <c r="AQ49" i="4"/>
  <c r="AQ51" i="4" s="1"/>
  <c r="AM54" i="4"/>
  <c r="BD48" i="4"/>
  <c r="BD56" i="4" s="1"/>
  <c r="AN57" i="4"/>
  <c r="AN59" i="4" s="1"/>
  <c r="AI55" i="4"/>
  <c r="AU55" i="4" s="1"/>
  <c r="BE54" i="4"/>
  <c r="AS51" i="4"/>
  <c r="AO51" i="4"/>
  <c r="AL49" i="4"/>
  <c r="AL51" i="4" s="1"/>
  <c r="BD47" i="4"/>
  <c r="AY47" i="4" s="1"/>
  <c r="AY55" i="4" s="1"/>
  <c r="AU47" i="4"/>
  <c r="BC47" i="4"/>
  <c r="BC55" i="4" s="1"/>
  <c r="BC57" i="4" s="1"/>
  <c r="AJ57" i="4"/>
  <c r="AJ59" i="4" s="1"/>
  <c r="AR57" i="4"/>
  <c r="AR59" i="4" s="1"/>
  <c r="AU10" i="4"/>
  <c r="AU28" i="4"/>
  <c r="AU31" i="4"/>
  <c r="AU39" i="4"/>
  <c r="BD7" i="4"/>
  <c r="AX7" i="4" s="1"/>
  <c r="BD9" i="4"/>
  <c r="AX9" i="4" s="1"/>
  <c r="BD11" i="4"/>
  <c r="AX11" i="4" s="1"/>
  <c r="BD13" i="4"/>
  <c r="AY13" i="4" s="1"/>
  <c r="BD15" i="4"/>
  <c r="AX15" i="4" s="1"/>
  <c r="BD19" i="4"/>
  <c r="AX19" i="4" s="1"/>
  <c r="BD21" i="4"/>
  <c r="AX21" i="4" s="1"/>
  <c r="BD25" i="4"/>
  <c r="AX25" i="4" s="1"/>
  <c r="BD27" i="4"/>
  <c r="AX27" i="4" s="1"/>
  <c r="BD29" i="4"/>
  <c r="AX29" i="4" s="1"/>
  <c r="BD31" i="4"/>
  <c r="AX31" i="4" s="1"/>
  <c r="BD33" i="4"/>
  <c r="AX33" i="4" s="1"/>
  <c r="BD35" i="4"/>
  <c r="AX35" i="4" s="1"/>
  <c r="BD37" i="4"/>
  <c r="AX37" i="4" s="1"/>
  <c r="BD39" i="4"/>
  <c r="AX39" i="4" s="1"/>
  <c r="BD41" i="4"/>
  <c r="AY41" i="4" s="1"/>
  <c r="AU15" i="4"/>
  <c r="BE7" i="4"/>
  <c r="BE39" i="4"/>
  <c r="AU26" i="4"/>
  <c r="BE9" i="4"/>
  <c r="AZ9" i="4" s="1"/>
  <c r="BE17" i="4"/>
  <c r="AZ17" i="4" s="1"/>
  <c r="BE31" i="4"/>
  <c r="AZ31" i="4" s="1"/>
  <c r="AU18" i="4"/>
  <c r="AP51" i="4"/>
  <c r="BF11" i="4"/>
  <c r="AZ11" i="4" s="1"/>
  <c r="BF19" i="4"/>
  <c r="AZ19" i="4" s="1"/>
  <c r="BF29" i="4"/>
  <c r="AZ29" i="4" s="1"/>
  <c r="BE27" i="4"/>
  <c r="AY27" i="4" s="1"/>
  <c r="BE33" i="4"/>
  <c r="AU8" i="4"/>
  <c r="AU24" i="4"/>
  <c r="BF21" i="4"/>
  <c r="AZ21" i="4" s="1"/>
  <c r="BF25" i="4"/>
  <c r="BF37" i="4"/>
  <c r="AZ37" i="4" s="1"/>
  <c r="AU11" i="4"/>
  <c r="AU29" i="4"/>
  <c r="AU32" i="4"/>
  <c r="AU34" i="4"/>
  <c r="AU37" i="4"/>
  <c r="AU40" i="4"/>
  <c r="BC8" i="4"/>
  <c r="BC10" i="4"/>
  <c r="BC12" i="4"/>
  <c r="AW12" i="4" s="1"/>
  <c r="BC14" i="4"/>
  <c r="BC16" i="4"/>
  <c r="BC18" i="4"/>
  <c r="AW18" i="4" s="1"/>
  <c r="BC20" i="4"/>
  <c r="AW20" i="4" s="1"/>
  <c r="BC22" i="4"/>
  <c r="AW22" i="4" s="1"/>
  <c r="BC24" i="4"/>
  <c r="BC26" i="4"/>
  <c r="AW26" i="4" s="1"/>
  <c r="BC28" i="4"/>
  <c r="AW28" i="4" s="1"/>
  <c r="BC30" i="4"/>
  <c r="BC32" i="4"/>
  <c r="BC34" i="4"/>
  <c r="AW34" i="4" s="1"/>
  <c r="BC36" i="4"/>
  <c r="AW36" i="4" s="1"/>
  <c r="BC38" i="4"/>
  <c r="AW38" i="4" s="1"/>
  <c r="BC40" i="4"/>
  <c r="BC42" i="4"/>
  <c r="AU21" i="4"/>
  <c r="AU36" i="4"/>
  <c r="AK44" i="4"/>
  <c r="AK51" i="4" s="1"/>
  <c r="BE25" i="4"/>
  <c r="BE35" i="4"/>
  <c r="AU13" i="4"/>
  <c r="BF7" i="4"/>
  <c r="AZ7" i="4" s="1"/>
  <c r="BF27" i="4"/>
  <c r="BF33" i="4"/>
  <c r="AZ33" i="4" s="1"/>
  <c r="BF35" i="4"/>
  <c r="AU22" i="4"/>
  <c r="BD8" i="4"/>
  <c r="BD10" i="4"/>
  <c r="BD12" i="4"/>
  <c r="BD14" i="4"/>
  <c r="BD16" i="4"/>
  <c r="AY16" i="4" s="1"/>
  <c r="BD18" i="4"/>
  <c r="BD20" i="4"/>
  <c r="BD22" i="4"/>
  <c r="BD24" i="4"/>
  <c r="AX24" i="4" s="1"/>
  <c r="BD26" i="4"/>
  <c r="BD28" i="4"/>
  <c r="BD30" i="4"/>
  <c r="BD32" i="4"/>
  <c r="AX32" i="4" s="1"/>
  <c r="BD34" i="4"/>
  <c r="BD36" i="4"/>
  <c r="BD38" i="4"/>
  <c r="BD40" i="4"/>
  <c r="AX40" i="4" s="1"/>
  <c r="BD42" i="4"/>
  <c r="AY42" i="4" s="1"/>
  <c r="BF6" i="4"/>
  <c r="AU16" i="4"/>
  <c r="AX43" i="4"/>
  <c r="BE8" i="4"/>
  <c r="AZ8" i="4" s="1"/>
  <c r="BE12" i="4"/>
  <c r="BE18" i="4"/>
  <c r="AZ18" i="4" s="1"/>
  <c r="BE22" i="4"/>
  <c r="AZ22" i="4" s="1"/>
  <c r="BE28" i="4"/>
  <c r="AZ28" i="4" s="1"/>
  <c r="BE32" i="4"/>
  <c r="BE38" i="4"/>
  <c r="AZ38" i="4" s="1"/>
  <c r="AU14" i="4"/>
  <c r="BE10" i="4"/>
  <c r="AZ10" i="4" s="1"/>
  <c r="BE14" i="4"/>
  <c r="AY14" i="4" s="1"/>
  <c r="BE16" i="4"/>
  <c r="AZ16" i="4" s="1"/>
  <c r="BE20" i="4"/>
  <c r="AZ20" i="4" s="1"/>
  <c r="BE24" i="4"/>
  <c r="AZ24" i="4" s="1"/>
  <c r="BE26" i="4"/>
  <c r="BE30" i="4"/>
  <c r="AZ30" i="4" s="1"/>
  <c r="BE34" i="4"/>
  <c r="AZ34" i="4" s="1"/>
  <c r="BE36" i="4"/>
  <c r="AZ36" i="4" s="1"/>
  <c r="BE40" i="4"/>
  <c r="AZ40" i="4" s="1"/>
  <c r="AU30" i="4"/>
  <c r="AU38" i="4"/>
  <c r="BC6" i="4"/>
  <c r="AW6" i="4" s="1"/>
  <c r="AU6" i="4"/>
  <c r="BD6" i="4"/>
  <c r="AI44" i="4"/>
  <c r="AI51" i="4" s="1"/>
  <c r="BE6" i="4"/>
  <c r="AQ57" i="4"/>
  <c r="AQ59" i="4" s="1"/>
  <c r="AT51" i="4"/>
  <c r="AW48" i="4"/>
  <c r="AK57" i="4"/>
  <c r="AK59" i="4" s="1"/>
  <c r="AS57" i="4"/>
  <c r="AS59" i="4" s="1"/>
  <c r="AZ47" i="4"/>
  <c r="AZ55" i="4" s="1"/>
  <c r="AU56" i="4"/>
  <c r="AP57" i="4"/>
  <c r="AP59" i="4" s="1"/>
  <c r="AO57" i="4"/>
  <c r="AO59" i="4" s="1"/>
  <c r="AX48" i="4"/>
  <c r="AX56" i="4" s="1"/>
  <c r="AX46" i="4"/>
  <c r="AX54" i="4" s="1"/>
  <c r="AY30" i="4"/>
  <c r="AY29" i="4"/>
  <c r="AW37" i="4"/>
  <c r="AJ51" i="4"/>
  <c r="AW21" i="4"/>
  <c r="AZ39" i="4"/>
  <c r="AM51" i="4"/>
  <c r="AY38" i="4"/>
  <c r="AY17" i="4"/>
  <c r="AW29" i="4"/>
  <c r="AY37" i="4"/>
  <c r="AR51" i="4"/>
  <c r="AW9" i="4"/>
  <c r="AW46" i="4"/>
  <c r="AN51" i="4"/>
  <c r="BE49" i="4"/>
  <c r="BE56" i="4"/>
  <c r="AY7" i="4"/>
  <c r="BA7" i="4" s="1"/>
  <c r="AW8" i="4"/>
  <c r="AW16" i="4"/>
  <c r="AY19" i="4"/>
  <c r="AY23" i="4"/>
  <c r="AW24" i="4"/>
  <c r="AW32" i="4"/>
  <c r="AW40" i="4"/>
  <c r="AY43" i="4"/>
  <c r="BE55" i="4"/>
  <c r="AW17" i="4"/>
  <c r="AY35" i="4" l="1"/>
  <c r="BA35" i="4" s="1"/>
  <c r="AW56" i="4"/>
  <c r="BA56" i="4" s="1"/>
  <c r="BA23" i="4"/>
  <c r="AY32" i="4"/>
  <c r="AX26" i="4"/>
  <c r="AY12" i="4"/>
  <c r="AU49" i="4"/>
  <c r="AZ46" i="4"/>
  <c r="AZ54" i="4" s="1"/>
  <c r="AZ57" i="4" s="1"/>
  <c r="BE57" i="4"/>
  <c r="AY46" i="4"/>
  <c r="AY54" i="4" s="1"/>
  <c r="AU54" i="4"/>
  <c r="AU57" i="4" s="1"/>
  <c r="AX41" i="4"/>
  <c r="BA41" i="4" s="1"/>
  <c r="AY34" i="4"/>
  <c r="AZ35" i="4"/>
  <c r="AY26" i="4"/>
  <c r="BC49" i="4"/>
  <c r="AW47" i="4"/>
  <c r="AY22" i="4"/>
  <c r="AY21" i="4"/>
  <c r="BA21" i="4" s="1"/>
  <c r="AX13" i="4"/>
  <c r="BA13" i="4" s="1"/>
  <c r="AX30" i="4"/>
  <c r="BA29" i="4"/>
  <c r="AX18" i="4"/>
  <c r="AY20" i="4"/>
  <c r="AY39" i="4"/>
  <c r="BA39" i="4" s="1"/>
  <c r="BA17" i="4"/>
  <c r="BF44" i="4"/>
  <c r="BF51" i="4" s="1"/>
  <c r="AY8" i="4"/>
  <c r="AY31" i="4"/>
  <c r="BA31" i="4" s="1"/>
  <c r="BA43" i="4"/>
  <c r="AM57" i="4"/>
  <c r="AM59" i="4" s="1"/>
  <c r="AI57" i="4"/>
  <c r="AI59" i="4" s="1"/>
  <c r="BD55" i="4"/>
  <c r="AX47" i="4"/>
  <c r="BD54" i="4"/>
  <c r="BD49" i="4"/>
  <c r="AY48" i="4"/>
  <c r="AY56" i="4" s="1"/>
  <c r="AX14" i="4"/>
  <c r="AW14" i="4"/>
  <c r="AY40" i="4"/>
  <c r="BA40" i="4" s="1"/>
  <c r="AY9" i="4"/>
  <c r="BA9" i="4" s="1"/>
  <c r="AZ27" i="4"/>
  <c r="BA27" i="4" s="1"/>
  <c r="AX42" i="4"/>
  <c r="AX10" i="4"/>
  <c r="AW10" i="4"/>
  <c r="BA19" i="4"/>
  <c r="AY18" i="4"/>
  <c r="BA18" i="4" s="1"/>
  <c r="AW30" i="4"/>
  <c r="BA30" i="4" s="1"/>
  <c r="BD44" i="4"/>
  <c r="AX8" i="4"/>
  <c r="AZ25" i="4"/>
  <c r="BE44" i="4"/>
  <c r="BE51" i="4" s="1"/>
  <c r="AX12" i="4"/>
  <c r="AZ32" i="4"/>
  <c r="AX38" i="4"/>
  <c r="BA38" i="4" s="1"/>
  <c r="AY28" i="4"/>
  <c r="AX36" i="4"/>
  <c r="AZ14" i="4"/>
  <c r="AX22" i="4"/>
  <c r="AW42" i="4"/>
  <c r="AY25" i="4"/>
  <c r="AX34" i="4"/>
  <c r="AZ26" i="4"/>
  <c r="BA26" i="4" s="1"/>
  <c r="AZ12" i="4"/>
  <c r="AY36" i="4"/>
  <c r="AU44" i="4"/>
  <c r="AX28" i="4"/>
  <c r="AY15" i="4"/>
  <c r="BA15" i="4" s="1"/>
  <c r="AX20" i="4"/>
  <c r="AY24" i="4"/>
  <c r="BA24" i="4" s="1"/>
  <c r="AY11" i="4"/>
  <c r="BA11" i="4" s="1"/>
  <c r="AY10" i="4"/>
  <c r="AX16" i="4"/>
  <c r="BA16" i="4" s="1"/>
  <c r="AY33" i="4"/>
  <c r="BA33" i="4" s="1"/>
  <c r="BC44" i="4"/>
  <c r="AX6" i="4"/>
  <c r="AY6" i="4"/>
  <c r="AZ6" i="4"/>
  <c r="BA37" i="4"/>
  <c r="AW54" i="4"/>
  <c r="BC51" i="4" l="1"/>
  <c r="AZ49" i="4"/>
  <c r="AW55" i="4"/>
  <c r="BA47" i="4"/>
  <c r="AW49" i="4"/>
  <c r="BA48" i="4"/>
  <c r="BA22" i="4"/>
  <c r="BA8" i="4"/>
  <c r="BA32" i="4"/>
  <c r="BA20" i="4"/>
  <c r="BA54" i="4"/>
  <c r="BA46" i="4"/>
  <c r="AU59" i="4"/>
  <c r="BD57" i="4"/>
  <c r="BD59" i="4" s="1"/>
  <c r="BA34" i="4"/>
  <c r="BA28" i="4"/>
  <c r="BF59" i="4"/>
  <c r="BA36" i="4"/>
  <c r="BA12" i="4"/>
  <c r="AX44" i="4"/>
  <c r="AW44" i="4"/>
  <c r="AW51" i="4" s="1"/>
  <c r="BA42" i="4"/>
  <c r="BE59" i="4"/>
  <c r="AU51" i="4"/>
  <c r="BD51" i="4"/>
  <c r="AY57" i="4"/>
  <c r="AX55" i="4"/>
  <c r="AX49" i="4"/>
  <c r="AY49" i="4"/>
  <c r="BA25" i="4"/>
  <c r="BA14" i="4"/>
  <c r="AZ44" i="4"/>
  <c r="AZ51" i="4" s="1"/>
  <c r="AY44" i="4"/>
  <c r="BA10" i="4"/>
  <c r="BC59" i="4"/>
  <c r="BA6" i="4"/>
  <c r="AW57" i="4"/>
  <c r="BA49" i="4" l="1"/>
  <c r="BA55" i="4"/>
  <c r="BA45" i="4"/>
  <c r="AY51" i="4"/>
  <c r="AX51" i="4"/>
  <c r="AW59" i="4"/>
  <c r="AZ59" i="4"/>
  <c r="AY59" i="4"/>
  <c r="AX57" i="4"/>
  <c r="AX59" i="4" s="1"/>
  <c r="BA57" i="4"/>
  <c r="BA44" i="4"/>
  <c r="BA59" i="4" l="1"/>
  <c r="BA51" i="4"/>
  <c r="T56" i="4" l="1"/>
  <c r="S56" i="4"/>
  <c r="R56" i="4"/>
  <c r="Q56" i="4"/>
  <c r="P56" i="4"/>
  <c r="O56" i="4"/>
  <c r="N56" i="4"/>
  <c r="M56" i="4"/>
  <c r="L56" i="4"/>
  <c r="K56" i="4"/>
  <c r="J56" i="4"/>
  <c r="I56" i="4"/>
  <c r="T55" i="4"/>
  <c r="S55" i="4"/>
  <c r="R55" i="4"/>
  <c r="Q55" i="4"/>
  <c r="P55" i="4"/>
  <c r="O55" i="4"/>
  <c r="N55" i="4"/>
  <c r="M55" i="4"/>
  <c r="L55" i="4"/>
  <c r="K55" i="4"/>
  <c r="J55" i="4"/>
  <c r="I55" i="4"/>
  <c r="T54" i="4"/>
  <c r="S54" i="4"/>
  <c r="R54" i="4"/>
  <c r="Q54" i="4"/>
  <c r="P54" i="4"/>
  <c r="O54" i="4"/>
  <c r="N54" i="4"/>
  <c r="M54" i="4"/>
  <c r="L54" i="4"/>
  <c r="K54" i="4"/>
  <c r="J54" i="4"/>
  <c r="I54" i="4"/>
  <c r="AF48" i="4"/>
  <c r="AF56" i="4" s="1"/>
  <c r="AE48" i="4"/>
  <c r="AE56" i="4" s="1"/>
  <c r="AD48" i="4"/>
  <c r="AF47" i="4"/>
  <c r="AE47" i="4"/>
  <c r="AD47" i="4"/>
  <c r="AF54" i="4"/>
  <c r="AD54" i="4"/>
  <c r="AD7" i="4"/>
  <c r="AE7" i="4"/>
  <c r="AF7" i="4"/>
  <c r="AD8" i="4"/>
  <c r="AE8" i="4"/>
  <c r="AF8" i="4"/>
  <c r="AD9" i="4"/>
  <c r="AE9" i="4"/>
  <c r="AF9" i="4"/>
  <c r="AD10" i="4"/>
  <c r="AE10" i="4"/>
  <c r="AF10" i="4"/>
  <c r="AD11" i="4"/>
  <c r="AE11" i="4"/>
  <c r="AF11" i="4"/>
  <c r="AD12" i="4"/>
  <c r="AE12" i="4"/>
  <c r="AF12" i="4"/>
  <c r="AD13" i="4"/>
  <c r="AE13" i="4"/>
  <c r="AF13" i="4"/>
  <c r="AD14" i="4"/>
  <c r="AE14" i="4"/>
  <c r="AF14" i="4"/>
  <c r="AD15" i="4"/>
  <c r="AE15" i="4"/>
  <c r="AF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D22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F26" i="4"/>
  <c r="AD27" i="4"/>
  <c r="AE27" i="4"/>
  <c r="AF27" i="4"/>
  <c r="AD28" i="4"/>
  <c r="AE28" i="4"/>
  <c r="AF28" i="4"/>
  <c r="AD29" i="4"/>
  <c r="AE29" i="4"/>
  <c r="AF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Z42" i="4" s="1"/>
  <c r="AD43" i="4"/>
  <c r="AE43" i="4"/>
  <c r="Y43" i="4" s="1"/>
  <c r="AF43" i="4"/>
  <c r="Z43" i="4" s="1"/>
  <c r="AF6" i="4"/>
  <c r="AE6" i="4"/>
  <c r="AD6" i="4"/>
  <c r="AC48" i="4"/>
  <c r="AC56" i="4" s="1"/>
  <c r="AC47" i="4"/>
  <c r="AC43" i="4"/>
  <c r="W43" i="4" s="1"/>
  <c r="AC42" i="4"/>
  <c r="W42" i="4" s="1"/>
  <c r="AC41" i="4"/>
  <c r="W41" i="4" s="1"/>
  <c r="AC40" i="4"/>
  <c r="W40" i="4" s="1"/>
  <c r="AC39" i="4"/>
  <c r="W39" i="4" s="1"/>
  <c r="AC38" i="4"/>
  <c r="W38" i="4" s="1"/>
  <c r="AC37" i="4"/>
  <c r="W37" i="4" s="1"/>
  <c r="AC36" i="4"/>
  <c r="W36" i="4" s="1"/>
  <c r="AC35" i="4"/>
  <c r="W35" i="4" s="1"/>
  <c r="AC34" i="4"/>
  <c r="AC33" i="4"/>
  <c r="W33" i="4" s="1"/>
  <c r="AC32" i="4"/>
  <c r="AC31" i="4"/>
  <c r="W31" i="4" s="1"/>
  <c r="AC30" i="4"/>
  <c r="W30" i="4" s="1"/>
  <c r="AC29" i="4"/>
  <c r="W29" i="4" s="1"/>
  <c r="AC28" i="4"/>
  <c r="W28" i="4" s="1"/>
  <c r="AC27" i="4"/>
  <c r="W27" i="4" s="1"/>
  <c r="AC26" i="4"/>
  <c r="W26" i="4" s="1"/>
  <c r="AC25" i="4"/>
  <c r="W25" i="4" s="1"/>
  <c r="AC24" i="4"/>
  <c r="W24" i="4" s="1"/>
  <c r="AC23" i="4"/>
  <c r="W23" i="4" s="1"/>
  <c r="AC22" i="4"/>
  <c r="W22" i="4" s="1"/>
  <c r="AC21" i="4"/>
  <c r="W21" i="4" s="1"/>
  <c r="AC20" i="4"/>
  <c r="W20" i="4" s="1"/>
  <c r="AC19" i="4"/>
  <c r="W19" i="4" s="1"/>
  <c r="AC18" i="4"/>
  <c r="AC17" i="4"/>
  <c r="W17" i="4" s="1"/>
  <c r="AC16" i="4"/>
  <c r="W16" i="4" s="1"/>
  <c r="AC15" i="4"/>
  <c r="W15" i="4" s="1"/>
  <c r="AC14" i="4"/>
  <c r="W14" i="4" s="1"/>
  <c r="AC13" i="4"/>
  <c r="W13" i="4" s="1"/>
  <c r="AC12" i="4"/>
  <c r="W12" i="4" s="1"/>
  <c r="AC11" i="4"/>
  <c r="W11" i="4" s="1"/>
  <c r="AC10" i="4"/>
  <c r="W10" i="4" s="1"/>
  <c r="AC9" i="4"/>
  <c r="W9" i="4" s="1"/>
  <c r="AC8" i="4"/>
  <c r="W8" i="4" s="1"/>
  <c r="AC7" i="4"/>
  <c r="W7" i="4" s="1"/>
  <c r="AC6" i="4"/>
  <c r="W6" i="4" s="1"/>
  <c r="AA5" i="4"/>
  <c r="H4" i="1"/>
  <c r="O39" i="5"/>
  <c r="N39" i="5"/>
  <c r="M39" i="5"/>
  <c r="L39" i="5"/>
  <c r="K39" i="5"/>
  <c r="J39" i="5"/>
  <c r="I39" i="5"/>
  <c r="H39" i="5"/>
  <c r="G39" i="5"/>
  <c r="F39" i="5"/>
  <c r="E39" i="5"/>
  <c r="D39" i="5"/>
  <c r="W32" i="4" l="1"/>
  <c r="K6" i="1"/>
  <c r="W18" i="4"/>
  <c r="K23" i="1"/>
  <c r="W34" i="4"/>
  <c r="Y38" i="4"/>
  <c r="Z35" i="4"/>
  <c r="Y30" i="4"/>
  <c r="Z27" i="4"/>
  <c r="Y22" i="4"/>
  <c r="Z19" i="4"/>
  <c r="Y14" i="4"/>
  <c r="Z11" i="4"/>
  <c r="X42" i="4"/>
  <c r="AA42" i="4" s="1"/>
  <c r="X43" i="4"/>
  <c r="AA43" i="4" s="1"/>
  <c r="Y42" i="4"/>
  <c r="Z47" i="4"/>
  <c r="Z55" i="4" s="1"/>
  <c r="AF49" i="4"/>
  <c r="Y31" i="4"/>
  <c r="Z28" i="4"/>
  <c r="Y23" i="4"/>
  <c r="Z20" i="4"/>
  <c r="Y7" i="4"/>
  <c r="Y39" i="4"/>
  <c r="Z36" i="4"/>
  <c r="Z12" i="4"/>
  <c r="Z40" i="4"/>
  <c r="Y35" i="4"/>
  <c r="Z32" i="4"/>
  <c r="Y33" i="4"/>
  <c r="Y25" i="4"/>
  <c r="Y15" i="4"/>
  <c r="Y41" i="4"/>
  <c r="Z30" i="4"/>
  <c r="Z22" i="4"/>
  <c r="Z14" i="4"/>
  <c r="Z17" i="4"/>
  <c r="Z10" i="4"/>
  <c r="Y6" i="4"/>
  <c r="Z38" i="4"/>
  <c r="Z9" i="4"/>
  <c r="Y54" i="4"/>
  <c r="Y27" i="4"/>
  <c r="Z24" i="4"/>
  <c r="Y19" i="4"/>
  <c r="Z16" i="4"/>
  <c r="Y11" i="4"/>
  <c r="Z8" i="4"/>
  <c r="AD49" i="4"/>
  <c r="X40" i="4"/>
  <c r="Y29" i="4"/>
  <c r="Z18" i="4"/>
  <c r="Z13" i="4"/>
  <c r="Y47" i="4"/>
  <c r="Y55" i="4" s="1"/>
  <c r="Z39" i="4"/>
  <c r="Y34" i="4"/>
  <c r="Z31" i="4"/>
  <c r="Y26" i="4"/>
  <c r="Z23" i="4"/>
  <c r="Y18" i="4"/>
  <c r="Z15" i="4"/>
  <c r="Y10" i="4"/>
  <c r="Z7" i="4"/>
  <c r="X48" i="4"/>
  <c r="X56" i="4" s="1"/>
  <c r="AE54" i="4"/>
  <c r="AD55" i="4"/>
  <c r="AE55" i="4"/>
  <c r="X47" i="4"/>
  <c r="X55" i="4" s="1"/>
  <c r="Y37" i="4"/>
  <c r="Z34" i="4"/>
  <c r="X32" i="4"/>
  <c r="Z26" i="4"/>
  <c r="X24" i="4"/>
  <c r="AE44" i="4"/>
  <c r="X16" i="4"/>
  <c r="X8" i="4"/>
  <c r="X37" i="4"/>
  <c r="X29" i="4"/>
  <c r="X21" i="4"/>
  <c r="X13" i="4"/>
  <c r="X34" i="4"/>
  <c r="X26" i="4"/>
  <c r="AA26" i="4" s="1"/>
  <c r="X18" i="4"/>
  <c r="X10" i="4"/>
  <c r="Z41" i="4"/>
  <c r="X39" i="4"/>
  <c r="Y36" i="4"/>
  <c r="Z33" i="4"/>
  <c r="X31" i="4"/>
  <c r="Y28" i="4"/>
  <c r="Z25" i="4"/>
  <c r="X23" i="4"/>
  <c r="Y20" i="4"/>
  <c r="X15" i="4"/>
  <c r="Y12" i="4"/>
  <c r="X7" i="4"/>
  <c r="X36" i="4"/>
  <c r="X28" i="4"/>
  <c r="X20" i="4"/>
  <c r="X12" i="4"/>
  <c r="X41" i="4"/>
  <c r="X33" i="4"/>
  <c r="AA33" i="4" s="1"/>
  <c r="X25" i="4"/>
  <c r="X17" i="4"/>
  <c r="X9" i="4"/>
  <c r="X38" i="4"/>
  <c r="X30" i="4"/>
  <c r="X22" i="4"/>
  <c r="X14" i="4"/>
  <c r="AA14" i="4" s="1"/>
  <c r="Y40" i="4"/>
  <c r="Z37" i="4"/>
  <c r="X35" i="4"/>
  <c r="Y32" i="4"/>
  <c r="Z29" i="4"/>
  <c r="X27" i="4"/>
  <c r="Y24" i="4"/>
  <c r="X19" i="4"/>
  <c r="AA19" i="4" s="1"/>
  <c r="Y16" i="4"/>
  <c r="X11" i="4"/>
  <c r="Y8" i="4"/>
  <c r="X6" i="4"/>
  <c r="Z6" i="4"/>
  <c r="Y48" i="4"/>
  <c r="Z54" i="4"/>
  <c r="Z48" i="4"/>
  <c r="Z56" i="4" s="1"/>
  <c r="AF55" i="4"/>
  <c r="AF57" i="4" s="1"/>
  <c r="W47" i="4"/>
  <c r="AA47" i="4" s="1"/>
  <c r="AD56" i="4"/>
  <c r="W48" i="4"/>
  <c r="AE49" i="4"/>
  <c r="AC55" i="4"/>
  <c r="AC44" i="4"/>
  <c r="AD44" i="4"/>
  <c r="Y9" i="4"/>
  <c r="Y13" i="4"/>
  <c r="Y17" i="4"/>
  <c r="Y21" i="4"/>
  <c r="Z21" i="4"/>
  <c r="W44" i="4"/>
  <c r="AF44" i="4"/>
  <c r="AA41" i="4" l="1"/>
  <c r="AA8" i="4"/>
  <c r="AA37" i="4"/>
  <c r="AA36" i="4"/>
  <c r="AA22" i="4"/>
  <c r="AA12" i="4"/>
  <c r="AA7" i="4"/>
  <c r="AA29" i="4"/>
  <c r="AA30" i="4"/>
  <c r="AA31" i="4"/>
  <c r="AA18" i="4"/>
  <c r="AA16" i="4"/>
  <c r="AA38" i="4"/>
  <c r="AA28" i="4"/>
  <c r="AA40" i="4"/>
  <c r="AA9" i="4"/>
  <c r="AA34" i="4"/>
  <c r="AA10" i="4"/>
  <c r="AA35" i="4"/>
  <c r="AA11" i="4"/>
  <c r="AA23" i="4"/>
  <c r="AA20" i="4"/>
  <c r="AA6" i="4"/>
  <c r="AA24" i="4"/>
  <c r="AA21" i="4"/>
  <c r="AA17" i="4"/>
  <c r="AA13" i="4"/>
  <c r="AA39" i="4"/>
  <c r="AA25" i="4"/>
  <c r="AA32" i="4"/>
  <c r="AA27" i="4"/>
  <c r="AA15" i="4"/>
  <c r="W56" i="4"/>
  <c r="AA48" i="4"/>
  <c r="AF51" i="4"/>
  <c r="AD51" i="4"/>
  <c r="AE57" i="4"/>
  <c r="AE59" i="4" s="1"/>
  <c r="AD57" i="4"/>
  <c r="AD59" i="4" s="1"/>
  <c r="X44" i="4"/>
  <c r="AE51" i="4"/>
  <c r="Z49" i="4"/>
  <c r="Z44" i="4"/>
  <c r="Y44" i="4"/>
  <c r="W55" i="4"/>
  <c r="AA55" i="4" s="1"/>
  <c r="Y56" i="4"/>
  <c r="Y57" i="4" s="1"/>
  <c r="Y49" i="4"/>
  <c r="AF59" i="4"/>
  <c r="Z57" i="4"/>
  <c r="Z51" i="4" l="1"/>
  <c r="Y51" i="4"/>
  <c r="Z59" i="4"/>
  <c r="Y59" i="4"/>
  <c r="AA56" i="4"/>
  <c r="Z59" i="3"/>
  <c r="Y59" i="3"/>
  <c r="X59" i="3"/>
  <c r="W59" i="3"/>
  <c r="Z58" i="3"/>
  <c r="Y58" i="3"/>
  <c r="X58" i="3"/>
  <c r="W58" i="3"/>
  <c r="Z57" i="3"/>
  <c r="Y57" i="3"/>
  <c r="X57" i="3"/>
  <c r="X60" i="3" s="1"/>
  <c r="W57" i="3"/>
  <c r="T59" i="3"/>
  <c r="S59" i="3"/>
  <c r="R59" i="3"/>
  <c r="Q59" i="3"/>
  <c r="P59" i="3"/>
  <c r="O59" i="3"/>
  <c r="N59" i="3"/>
  <c r="M59" i="3"/>
  <c r="L59" i="3"/>
  <c r="K59" i="3"/>
  <c r="J59" i="3"/>
  <c r="I59" i="3"/>
  <c r="T58" i="3"/>
  <c r="T60" i="3" s="1"/>
  <c r="S58" i="3"/>
  <c r="S60" i="3" s="1"/>
  <c r="R58" i="3"/>
  <c r="Q58" i="3"/>
  <c r="P58" i="3"/>
  <c r="O58" i="3"/>
  <c r="N58" i="3"/>
  <c r="M58" i="3"/>
  <c r="L58" i="3"/>
  <c r="K58" i="3"/>
  <c r="J58" i="3"/>
  <c r="I58" i="3"/>
  <c r="T57" i="3"/>
  <c r="S57" i="3"/>
  <c r="R57" i="3"/>
  <c r="Q57" i="3"/>
  <c r="P57" i="3"/>
  <c r="O57" i="3"/>
  <c r="N57" i="3"/>
  <c r="M57" i="3"/>
  <c r="L57" i="3"/>
  <c r="K57" i="3"/>
  <c r="J57" i="3"/>
  <c r="I57" i="3"/>
  <c r="T49" i="4"/>
  <c r="S49" i="4"/>
  <c r="R49" i="4"/>
  <c r="Q49" i="4"/>
  <c r="P49" i="4"/>
  <c r="O49" i="4"/>
  <c r="L49" i="4"/>
  <c r="K49" i="4"/>
  <c r="J49" i="4"/>
  <c r="I49" i="4"/>
  <c r="U48" i="4"/>
  <c r="P57" i="4"/>
  <c r="N57" i="4"/>
  <c r="U46" i="4"/>
  <c r="U41" i="4"/>
  <c r="U47" i="4"/>
  <c r="R44" i="4"/>
  <c r="Q44" i="4"/>
  <c r="P44" i="4"/>
  <c r="O44" i="4"/>
  <c r="L44" i="4"/>
  <c r="K44" i="4"/>
  <c r="I44" i="4"/>
  <c r="U43" i="4"/>
  <c r="U42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J44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AO51" i="3"/>
  <c r="AO59" i="3" s="1"/>
  <c r="AN51" i="3"/>
  <c r="AM51" i="3"/>
  <c r="AM59" i="3" s="1"/>
  <c r="AL51" i="3"/>
  <c r="AL59" i="3" s="1"/>
  <c r="AO50" i="3"/>
  <c r="AO58" i="3" s="1"/>
  <c r="AN50" i="3"/>
  <c r="AN58" i="3" s="1"/>
  <c r="AM50" i="3"/>
  <c r="AL50" i="3"/>
  <c r="AF50" i="3" s="1"/>
  <c r="AF58" i="3" s="1"/>
  <c r="AO49" i="3"/>
  <c r="AN49" i="3"/>
  <c r="AN57" i="3" s="1"/>
  <c r="AM49" i="3"/>
  <c r="AM57" i="3" s="1"/>
  <c r="AL49" i="3"/>
  <c r="J47" i="1" s="1"/>
  <c r="AO45" i="3"/>
  <c r="AN45" i="3"/>
  <c r="AM45" i="3"/>
  <c r="AL45" i="3"/>
  <c r="AF45" i="3" s="1"/>
  <c r="AO42" i="3"/>
  <c r="AN42" i="3"/>
  <c r="AM42" i="3"/>
  <c r="AL42" i="3"/>
  <c r="AF42" i="3" s="1"/>
  <c r="AO41" i="3"/>
  <c r="AN41" i="3"/>
  <c r="AM41" i="3"/>
  <c r="AL41" i="3"/>
  <c r="AF41" i="3" s="1"/>
  <c r="AO40" i="3"/>
  <c r="AN40" i="3"/>
  <c r="AM40" i="3"/>
  <c r="AL40" i="3"/>
  <c r="AF40" i="3" s="1"/>
  <c r="AO39" i="3"/>
  <c r="AN39" i="3"/>
  <c r="AM39" i="3"/>
  <c r="AL39" i="3"/>
  <c r="AF39" i="3" s="1"/>
  <c r="AO38" i="3"/>
  <c r="AN38" i="3"/>
  <c r="AM38" i="3"/>
  <c r="AL38" i="3"/>
  <c r="AF38" i="3" s="1"/>
  <c r="AO37" i="3"/>
  <c r="AN37" i="3"/>
  <c r="AM37" i="3"/>
  <c r="AL37" i="3"/>
  <c r="AF37" i="3" s="1"/>
  <c r="AO36" i="3"/>
  <c r="AN36" i="3"/>
  <c r="AM36" i="3"/>
  <c r="AL36" i="3"/>
  <c r="AF36" i="3" s="1"/>
  <c r="AO35" i="3"/>
  <c r="AN35" i="3"/>
  <c r="AM35" i="3"/>
  <c r="AL35" i="3"/>
  <c r="AF35" i="3" s="1"/>
  <c r="AO34" i="3"/>
  <c r="AN34" i="3"/>
  <c r="AM34" i="3"/>
  <c r="AL34" i="3"/>
  <c r="AF34" i="3" s="1"/>
  <c r="AO33" i="3"/>
  <c r="AN33" i="3"/>
  <c r="AM33" i="3"/>
  <c r="AL33" i="3"/>
  <c r="AF33" i="3" s="1"/>
  <c r="AO32" i="3"/>
  <c r="AN32" i="3"/>
  <c r="AM32" i="3"/>
  <c r="AL32" i="3"/>
  <c r="AF32" i="3" s="1"/>
  <c r="AO31" i="3"/>
  <c r="AN31" i="3"/>
  <c r="AM31" i="3"/>
  <c r="AL31" i="3"/>
  <c r="AF31" i="3" s="1"/>
  <c r="AO30" i="3"/>
  <c r="AN30" i="3"/>
  <c r="AM30" i="3"/>
  <c r="AL30" i="3"/>
  <c r="AF30" i="3" s="1"/>
  <c r="AO29" i="3"/>
  <c r="AN29" i="3"/>
  <c r="AM29" i="3"/>
  <c r="AL29" i="3"/>
  <c r="AF29" i="3" s="1"/>
  <c r="AO28" i="3"/>
  <c r="AN28" i="3"/>
  <c r="AM28" i="3"/>
  <c r="AL28" i="3"/>
  <c r="AF28" i="3" s="1"/>
  <c r="AO27" i="3"/>
  <c r="AN27" i="3"/>
  <c r="AM27" i="3"/>
  <c r="AL27" i="3"/>
  <c r="AF27" i="3" s="1"/>
  <c r="AO26" i="3"/>
  <c r="AN26" i="3"/>
  <c r="AM26" i="3"/>
  <c r="AL26" i="3"/>
  <c r="AF26" i="3" s="1"/>
  <c r="AO25" i="3"/>
  <c r="AN25" i="3"/>
  <c r="AM25" i="3"/>
  <c r="AL25" i="3"/>
  <c r="AF25" i="3" s="1"/>
  <c r="AO24" i="3"/>
  <c r="AN24" i="3"/>
  <c r="AM24" i="3"/>
  <c r="AL24" i="3"/>
  <c r="AF24" i="3" s="1"/>
  <c r="AO23" i="3"/>
  <c r="AN23" i="3"/>
  <c r="AM23" i="3"/>
  <c r="AL23" i="3"/>
  <c r="AF23" i="3" s="1"/>
  <c r="AO22" i="3"/>
  <c r="AN22" i="3"/>
  <c r="AM22" i="3"/>
  <c r="AL22" i="3"/>
  <c r="AF22" i="3" s="1"/>
  <c r="AO21" i="3"/>
  <c r="AN21" i="3"/>
  <c r="AM21" i="3"/>
  <c r="AL21" i="3"/>
  <c r="AF21" i="3" s="1"/>
  <c r="AO20" i="3"/>
  <c r="AN20" i="3"/>
  <c r="AM20" i="3"/>
  <c r="AL20" i="3"/>
  <c r="AF20" i="3" s="1"/>
  <c r="AO19" i="3"/>
  <c r="AN19" i="3"/>
  <c r="AM19" i="3"/>
  <c r="AL19" i="3"/>
  <c r="AF19" i="3" s="1"/>
  <c r="AO18" i="3"/>
  <c r="AN18" i="3"/>
  <c r="AM18" i="3"/>
  <c r="AL18" i="3"/>
  <c r="AF18" i="3" s="1"/>
  <c r="AO17" i="3"/>
  <c r="AN17" i="3"/>
  <c r="AM17" i="3"/>
  <c r="AL17" i="3"/>
  <c r="AF17" i="3" s="1"/>
  <c r="AO16" i="3"/>
  <c r="AN16" i="3"/>
  <c r="AM16" i="3"/>
  <c r="AL16" i="3"/>
  <c r="AF16" i="3" s="1"/>
  <c r="AO15" i="3"/>
  <c r="AN15" i="3"/>
  <c r="AM15" i="3"/>
  <c r="AL15" i="3"/>
  <c r="AF15" i="3" s="1"/>
  <c r="AO14" i="3"/>
  <c r="AN14" i="3"/>
  <c r="AM14" i="3"/>
  <c r="AL14" i="3"/>
  <c r="AF14" i="3" s="1"/>
  <c r="AO13" i="3"/>
  <c r="AN13" i="3"/>
  <c r="AM13" i="3"/>
  <c r="AL13" i="3"/>
  <c r="AF13" i="3" s="1"/>
  <c r="AO12" i="3"/>
  <c r="AN12" i="3"/>
  <c r="AM12" i="3"/>
  <c r="AL12" i="3"/>
  <c r="AF12" i="3" s="1"/>
  <c r="AO11" i="3"/>
  <c r="AN11" i="3"/>
  <c r="AM11" i="3"/>
  <c r="AL11" i="3"/>
  <c r="AF11" i="3" s="1"/>
  <c r="AO10" i="3"/>
  <c r="AN10" i="3"/>
  <c r="AM10" i="3"/>
  <c r="AL10" i="3"/>
  <c r="AF10" i="3" s="1"/>
  <c r="AO9" i="3"/>
  <c r="AN9" i="3"/>
  <c r="AM9" i="3"/>
  <c r="AL9" i="3"/>
  <c r="AF9" i="3" s="1"/>
  <c r="AO8" i="3"/>
  <c r="AN8" i="3"/>
  <c r="AM8" i="3"/>
  <c r="AL8" i="3"/>
  <c r="AF8" i="3" s="1"/>
  <c r="AO7" i="3"/>
  <c r="AN7" i="3"/>
  <c r="AM7" i="3"/>
  <c r="AL7" i="3"/>
  <c r="AF7" i="3" s="1"/>
  <c r="AO6" i="3"/>
  <c r="AN6" i="3"/>
  <c r="AF6" i="3"/>
  <c r="AJ5" i="3"/>
  <c r="Z52" i="3"/>
  <c r="Y52" i="3"/>
  <c r="X52" i="3"/>
  <c r="W52" i="3"/>
  <c r="AA51" i="3"/>
  <c r="AA50" i="3"/>
  <c r="AA49" i="3"/>
  <c r="AA45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Z46" i="3"/>
  <c r="Y46" i="3"/>
  <c r="X46" i="3"/>
  <c r="W46" i="3"/>
  <c r="T52" i="3"/>
  <c r="S52" i="3"/>
  <c r="R52" i="3"/>
  <c r="Q52" i="3"/>
  <c r="P52" i="3"/>
  <c r="O52" i="3"/>
  <c r="N54" i="3"/>
  <c r="L52" i="3"/>
  <c r="K52" i="3"/>
  <c r="J52" i="3"/>
  <c r="I52" i="3"/>
  <c r="U51" i="3"/>
  <c r="U50" i="3"/>
  <c r="U49" i="3"/>
  <c r="R46" i="3"/>
  <c r="Q46" i="3"/>
  <c r="P46" i="3"/>
  <c r="O46" i="3"/>
  <c r="L46" i="3"/>
  <c r="K46" i="3"/>
  <c r="I46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J46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Z60" i="3" l="1"/>
  <c r="Z62" i="3" s="1"/>
  <c r="AI49" i="3"/>
  <c r="AI57" i="3" s="1"/>
  <c r="P60" i="3"/>
  <c r="P62" i="3" s="1"/>
  <c r="AH7" i="3"/>
  <c r="AH9" i="3"/>
  <c r="AH11" i="3"/>
  <c r="AH13" i="3"/>
  <c r="AH15" i="3"/>
  <c r="AH17" i="3"/>
  <c r="AH19" i="3"/>
  <c r="AH21" i="3"/>
  <c r="AH23" i="3"/>
  <c r="AH25" i="3"/>
  <c r="AH27" i="3"/>
  <c r="AH29" i="3"/>
  <c r="AH31" i="3"/>
  <c r="AH33" i="3"/>
  <c r="AH35" i="3"/>
  <c r="AH37" i="3"/>
  <c r="AH39" i="3"/>
  <c r="AA58" i="3"/>
  <c r="AI12" i="3"/>
  <c r="AI14" i="3"/>
  <c r="AI16" i="3"/>
  <c r="AI22" i="3"/>
  <c r="AI30" i="3"/>
  <c r="AI34" i="3"/>
  <c r="AI42" i="3"/>
  <c r="AI8" i="3"/>
  <c r="AI10" i="3"/>
  <c r="AI18" i="3"/>
  <c r="AI20" i="3"/>
  <c r="AI26" i="3"/>
  <c r="AI38" i="3"/>
  <c r="L60" i="3"/>
  <c r="L62" i="3" s="1"/>
  <c r="O60" i="3"/>
  <c r="W60" i="3"/>
  <c r="W62" i="3" s="1"/>
  <c r="AG15" i="3"/>
  <c r="AG45" i="3"/>
  <c r="AH45" i="3"/>
  <c r="AG42" i="3"/>
  <c r="W54" i="3"/>
  <c r="AG6" i="3"/>
  <c r="AG41" i="3"/>
  <c r="K60" i="3"/>
  <c r="K62" i="3" s="1"/>
  <c r="AI50" i="3"/>
  <c r="AI58" i="3" s="1"/>
  <c r="AC49" i="3"/>
  <c r="AG7" i="3"/>
  <c r="AG39" i="3"/>
  <c r="AI7" i="3"/>
  <c r="AI11" i="3"/>
  <c r="AI13" i="3"/>
  <c r="AI15" i="3"/>
  <c r="AI17" i="3"/>
  <c r="AI19" i="3"/>
  <c r="AI21" i="3"/>
  <c r="AG27" i="3"/>
  <c r="AG19" i="3"/>
  <c r="AC11" i="3"/>
  <c r="AC27" i="3"/>
  <c r="AC35" i="3"/>
  <c r="AG31" i="3"/>
  <c r="AG11" i="3"/>
  <c r="AI24" i="3"/>
  <c r="AI28" i="3"/>
  <c r="AI32" i="3"/>
  <c r="AI36" i="3"/>
  <c r="AI40" i="3"/>
  <c r="AG23" i="3"/>
  <c r="AG35" i="3"/>
  <c r="AH49" i="3"/>
  <c r="AH57" i="3" s="1"/>
  <c r="AH51" i="3"/>
  <c r="AH59" i="3" s="1"/>
  <c r="AA59" i="3"/>
  <c r="AL52" i="3"/>
  <c r="X54" i="3"/>
  <c r="AM52" i="3"/>
  <c r="AF51" i="3"/>
  <c r="AF59" i="3" s="1"/>
  <c r="AM58" i="3"/>
  <c r="AG49" i="3"/>
  <c r="AG57" i="3" s="1"/>
  <c r="U52" i="3"/>
  <c r="AN52" i="3"/>
  <c r="I54" i="3"/>
  <c r="AG51" i="3"/>
  <c r="AG59" i="3" s="1"/>
  <c r="AO52" i="3"/>
  <c r="M60" i="3"/>
  <c r="M62" i="3" s="1"/>
  <c r="Q60" i="3"/>
  <c r="Q62" i="3" s="1"/>
  <c r="AL57" i="3"/>
  <c r="AN59" i="3"/>
  <c r="J60" i="3"/>
  <c r="J62" i="3" s="1"/>
  <c r="R60" i="3"/>
  <c r="AL58" i="3"/>
  <c r="AO57" i="3"/>
  <c r="AG50" i="3"/>
  <c r="AG58" i="3" s="1"/>
  <c r="AC51" i="3"/>
  <c r="AH50" i="3"/>
  <c r="AH58" i="3" s="1"/>
  <c r="AF49" i="3"/>
  <c r="O54" i="3"/>
  <c r="AN46" i="3"/>
  <c r="AO46" i="3"/>
  <c r="AG9" i="3"/>
  <c r="AG13" i="3"/>
  <c r="AG17" i="3"/>
  <c r="AG21" i="3"/>
  <c r="AG25" i="3"/>
  <c r="AG29" i="3"/>
  <c r="AG33" i="3"/>
  <c r="AG37" i="3"/>
  <c r="AH41" i="3"/>
  <c r="AI9" i="3"/>
  <c r="AI6" i="3"/>
  <c r="AH8" i="3"/>
  <c r="AH10" i="3"/>
  <c r="AH12" i="3"/>
  <c r="AH14" i="3"/>
  <c r="AH16" i="3"/>
  <c r="AH18" i="3"/>
  <c r="AH20" i="3"/>
  <c r="AH22" i="3"/>
  <c r="AH24" i="3"/>
  <c r="AH26" i="3"/>
  <c r="AH28" i="3"/>
  <c r="AH30" i="3"/>
  <c r="AH32" i="3"/>
  <c r="AH34" i="3"/>
  <c r="AH36" i="3"/>
  <c r="AH38" i="3"/>
  <c r="AH40" i="3"/>
  <c r="AC6" i="3"/>
  <c r="AC10" i="3"/>
  <c r="AC18" i="3"/>
  <c r="AC26" i="3"/>
  <c r="AC34" i="3"/>
  <c r="AC42" i="3"/>
  <c r="AH6" i="3"/>
  <c r="AL46" i="3"/>
  <c r="S62" i="3"/>
  <c r="AH42" i="3"/>
  <c r="P54" i="3"/>
  <c r="AC7" i="3"/>
  <c r="AC15" i="3"/>
  <c r="AC23" i="3"/>
  <c r="AC31" i="3"/>
  <c r="AC39" i="3"/>
  <c r="AM46" i="3"/>
  <c r="AI23" i="3"/>
  <c r="AI25" i="3"/>
  <c r="AI27" i="3"/>
  <c r="AI29" i="3"/>
  <c r="AI31" i="3"/>
  <c r="AI33" i="3"/>
  <c r="AI35" i="3"/>
  <c r="AI37" i="3"/>
  <c r="AI39" i="3"/>
  <c r="AI41" i="3"/>
  <c r="AI45" i="3"/>
  <c r="X62" i="3"/>
  <c r="T62" i="3"/>
  <c r="R62" i="3"/>
  <c r="AA57" i="3"/>
  <c r="M54" i="3"/>
  <c r="J54" i="3"/>
  <c r="Q54" i="3"/>
  <c r="R54" i="3"/>
  <c r="O62" i="3"/>
  <c r="T57" i="4"/>
  <c r="T59" i="4" s="1"/>
  <c r="U49" i="4"/>
  <c r="O57" i="4"/>
  <c r="O59" i="4" s="1"/>
  <c r="M57" i="4"/>
  <c r="M59" i="4" s="1"/>
  <c r="Q51" i="4"/>
  <c r="L40" i="5" s="1"/>
  <c r="I51" i="4"/>
  <c r="D40" i="5" s="1"/>
  <c r="I57" i="4"/>
  <c r="I59" i="4" s="1"/>
  <c r="Y60" i="3"/>
  <c r="Y62" i="3" s="1"/>
  <c r="P51" i="4"/>
  <c r="K40" i="5" s="1"/>
  <c r="L57" i="4"/>
  <c r="L59" i="4" s="1"/>
  <c r="U56" i="4"/>
  <c r="P59" i="4"/>
  <c r="O51" i="4"/>
  <c r="J40" i="5" s="1"/>
  <c r="Q57" i="4"/>
  <c r="Q59" i="4" s="1"/>
  <c r="N51" i="4"/>
  <c r="I40" i="5" s="1"/>
  <c r="J57" i="4"/>
  <c r="J59" i="4" s="1"/>
  <c r="R57" i="4"/>
  <c r="R59" i="4" s="1"/>
  <c r="S57" i="4"/>
  <c r="S59" i="4" s="1"/>
  <c r="K57" i="4"/>
  <c r="K59" i="4" s="1"/>
  <c r="L51" i="4"/>
  <c r="G40" i="5" s="1"/>
  <c r="T51" i="4"/>
  <c r="O40" i="5" s="1"/>
  <c r="U55" i="4"/>
  <c r="J51" i="4"/>
  <c r="E40" i="5" s="1"/>
  <c r="N59" i="4"/>
  <c r="R51" i="4"/>
  <c r="M40" i="5" s="1"/>
  <c r="U54" i="4"/>
  <c r="K51" i="4"/>
  <c r="F40" i="5" s="1"/>
  <c r="S51" i="4"/>
  <c r="N40" i="5" s="1"/>
  <c r="U25" i="4"/>
  <c r="M51" i="4"/>
  <c r="H40" i="5" s="1"/>
  <c r="U59" i="3"/>
  <c r="N60" i="3"/>
  <c r="N62" i="3" s="1"/>
  <c r="U58" i="3"/>
  <c r="AC58" i="3" s="1"/>
  <c r="I60" i="3"/>
  <c r="I62" i="3" s="1"/>
  <c r="U57" i="3"/>
  <c r="AC19" i="3"/>
  <c r="AC45" i="3"/>
  <c r="S54" i="3"/>
  <c r="K54" i="3"/>
  <c r="L54" i="3"/>
  <c r="T54" i="3"/>
  <c r="AI51" i="3"/>
  <c r="AG8" i="3"/>
  <c r="AG10" i="3"/>
  <c r="AG12" i="3"/>
  <c r="AG14" i="3"/>
  <c r="AG16" i="3"/>
  <c r="AG18" i="3"/>
  <c r="AG20" i="3"/>
  <c r="AG22" i="3"/>
  <c r="AG24" i="3"/>
  <c r="AG26" i="3"/>
  <c r="AG28" i="3"/>
  <c r="AG30" i="3"/>
  <c r="AG32" i="3"/>
  <c r="AG34" i="3"/>
  <c r="AG36" i="3"/>
  <c r="AG38" i="3"/>
  <c r="AG40" i="3"/>
  <c r="AF46" i="3"/>
  <c r="AC12" i="3"/>
  <c r="AC20" i="3"/>
  <c r="AC28" i="3"/>
  <c r="AC36" i="3"/>
  <c r="AC13" i="3"/>
  <c r="AC21" i="3"/>
  <c r="AC29" i="3"/>
  <c r="AC37" i="3"/>
  <c r="AC30" i="3"/>
  <c r="AC14" i="3"/>
  <c r="AC38" i="3"/>
  <c r="AC8" i="3"/>
  <c r="AC16" i="3"/>
  <c r="AC24" i="3"/>
  <c r="AC32" i="3"/>
  <c r="AC40" i="3"/>
  <c r="AC22" i="3"/>
  <c r="AC9" i="3"/>
  <c r="AC17" i="3"/>
  <c r="AC33" i="3"/>
  <c r="AC41" i="3"/>
  <c r="AA52" i="3"/>
  <c r="AC50" i="3"/>
  <c r="Y54" i="3"/>
  <c r="Z54" i="3"/>
  <c r="AA46" i="3"/>
  <c r="U25" i="3"/>
  <c r="AF57" i="3" l="1"/>
  <c r="H47" i="1"/>
  <c r="AA60" i="3"/>
  <c r="AA62" i="3" s="1"/>
  <c r="AJ15" i="3"/>
  <c r="AC59" i="3"/>
  <c r="AJ12" i="3"/>
  <c r="AJ23" i="3"/>
  <c r="AJ36" i="3"/>
  <c r="AJ30" i="3"/>
  <c r="AJ33" i="3"/>
  <c r="AJ11" i="3"/>
  <c r="BP11" i="3" s="1"/>
  <c r="AC52" i="3"/>
  <c r="AM54" i="3"/>
  <c r="AJ42" i="3"/>
  <c r="AJ25" i="3"/>
  <c r="AJ29" i="3"/>
  <c r="AJ13" i="3"/>
  <c r="AJ41" i="3"/>
  <c r="AJ37" i="3"/>
  <c r="U44" i="4"/>
  <c r="U51" i="4" s="1"/>
  <c r="AA44" i="4"/>
  <c r="AL54" i="3"/>
  <c r="AJ14" i="3"/>
  <c r="AJ19" i="3"/>
  <c r="AJ7" i="3"/>
  <c r="AJ21" i="3"/>
  <c r="BP15" i="3"/>
  <c r="AJ45" i="3"/>
  <c r="AJ16" i="3"/>
  <c r="BP16" i="3" s="1"/>
  <c r="AJ9" i="3"/>
  <c r="AJ35" i="3"/>
  <c r="AF52" i="3"/>
  <c r="AF54" i="3" s="1"/>
  <c r="AF60" i="3"/>
  <c r="AF62" i="3" s="1"/>
  <c r="AJ32" i="3"/>
  <c r="AJ28" i="3"/>
  <c r="AJ10" i="3"/>
  <c r="AJ17" i="3"/>
  <c r="AJ26" i="3"/>
  <c r="BP26" i="3" s="1"/>
  <c r="AJ40" i="3"/>
  <c r="BP40" i="3" s="1"/>
  <c r="AJ24" i="3"/>
  <c r="AJ8" i="3"/>
  <c r="AJ39" i="3"/>
  <c r="BP39" i="3" s="1"/>
  <c r="AJ38" i="3"/>
  <c r="AJ22" i="3"/>
  <c r="BP32" i="3"/>
  <c r="AJ20" i="3"/>
  <c r="AJ49" i="3"/>
  <c r="BW57" i="3" s="1"/>
  <c r="AJ31" i="3"/>
  <c r="BQ31" i="3" s="1"/>
  <c r="AJ34" i="3"/>
  <c r="AJ18" i="3"/>
  <c r="AI52" i="3"/>
  <c r="AI59" i="3"/>
  <c r="AJ59" i="3" s="1"/>
  <c r="AO54" i="3"/>
  <c r="AH52" i="3"/>
  <c r="AN54" i="3"/>
  <c r="AJ50" i="3"/>
  <c r="AG52" i="3"/>
  <c r="AJ6" i="3"/>
  <c r="BP33" i="3"/>
  <c r="AH46" i="3"/>
  <c r="BP36" i="3"/>
  <c r="BP42" i="3"/>
  <c r="AJ27" i="3"/>
  <c r="BP21" i="3"/>
  <c r="BP23" i="3"/>
  <c r="BR30" i="3"/>
  <c r="BQ15" i="3"/>
  <c r="BP35" i="3"/>
  <c r="BP12" i="3"/>
  <c r="BP37" i="3"/>
  <c r="BP29" i="3"/>
  <c r="BS15" i="3"/>
  <c r="BS45" i="3"/>
  <c r="BQ23" i="3"/>
  <c r="BQ32" i="3"/>
  <c r="BP28" i="3"/>
  <c r="BP45" i="3"/>
  <c r="BP27" i="3"/>
  <c r="BQ11" i="3"/>
  <c r="BP41" i="3"/>
  <c r="BP17" i="3"/>
  <c r="BS32" i="3"/>
  <c r="BP31" i="3"/>
  <c r="BP30" i="3"/>
  <c r="BP14" i="3"/>
  <c r="BR36" i="3"/>
  <c r="BS37" i="3"/>
  <c r="BR21" i="3"/>
  <c r="BQ12" i="3"/>
  <c r="BP18" i="3"/>
  <c r="BQ35" i="3"/>
  <c r="BP19" i="3"/>
  <c r="AI46" i="3"/>
  <c r="BR38" i="3"/>
  <c r="BP22" i="3"/>
  <c r="BR42" i="3"/>
  <c r="BR7" i="3"/>
  <c r="BP38" i="3"/>
  <c r="BS29" i="3"/>
  <c r="BP13" i="3"/>
  <c r="BS36" i="3"/>
  <c r="BP34" i="3"/>
  <c r="BP7" i="3"/>
  <c r="BQ33" i="3"/>
  <c r="BP9" i="3"/>
  <c r="U46" i="3"/>
  <c r="U57" i="4"/>
  <c r="AN60" i="3"/>
  <c r="AN62" i="3" s="1"/>
  <c r="U60" i="3"/>
  <c r="AM60" i="3"/>
  <c r="AM62" i="3" s="1"/>
  <c r="AH60" i="3"/>
  <c r="AG60" i="3"/>
  <c r="AL60" i="3"/>
  <c r="AL62" i="3" s="1"/>
  <c r="AO60" i="3"/>
  <c r="AC57" i="3"/>
  <c r="AJ51" i="3"/>
  <c r="AG46" i="3"/>
  <c r="AC25" i="3"/>
  <c r="AC46" i="3" s="1"/>
  <c r="AC47" i="3" s="1"/>
  <c r="AA54" i="3"/>
  <c r="U54" i="3" l="1"/>
  <c r="U59" i="4"/>
  <c r="AC54" i="3"/>
  <c r="AH62" i="3"/>
  <c r="BS28" i="3"/>
  <c r="BS17" i="3"/>
  <c r="BS16" i="3"/>
  <c r="BS11" i="3"/>
  <c r="BR35" i="3"/>
  <c r="BS39" i="3"/>
  <c r="BR16" i="3"/>
  <c r="BQ16" i="3"/>
  <c r="BS20" i="3"/>
  <c r="BS24" i="3"/>
  <c r="BP24" i="3"/>
  <c r="BS40" i="3"/>
  <c r="BR45" i="3"/>
  <c r="BY57" i="3"/>
  <c r="BR31" i="3"/>
  <c r="BQ26" i="3"/>
  <c r="BQ13" i="3"/>
  <c r="BS9" i="3"/>
  <c r="AJ46" i="3"/>
  <c r="BQ8" i="3"/>
  <c r="BS23" i="3"/>
  <c r="BP20" i="3"/>
  <c r="BS10" i="3"/>
  <c r="BP8" i="3"/>
  <c r="BP10" i="3"/>
  <c r="BQ40" i="3"/>
  <c r="BQ17" i="3"/>
  <c r="BQ27" i="3"/>
  <c r="BS26" i="3"/>
  <c r="BR32" i="3"/>
  <c r="BT32" i="3" s="1"/>
  <c r="BQ41" i="3"/>
  <c r="BS30" i="3"/>
  <c r="BS13" i="3"/>
  <c r="BR18" i="3"/>
  <c r="BV57" i="3"/>
  <c r="AI60" i="3"/>
  <c r="AI62" i="3" s="1"/>
  <c r="AI54" i="3"/>
  <c r="AH54" i="3"/>
  <c r="BR58" i="3"/>
  <c r="AJ52" i="3"/>
  <c r="BW52" i="3"/>
  <c r="BX57" i="3"/>
  <c r="BW58" i="3"/>
  <c r="BQ57" i="3"/>
  <c r="BP57" i="3"/>
  <c r="BQ58" i="3"/>
  <c r="BR13" i="3"/>
  <c r="BQ19" i="3"/>
  <c r="BR22" i="3"/>
  <c r="BQ34" i="3"/>
  <c r="BR15" i="3"/>
  <c r="BR27" i="3"/>
  <c r="BQ9" i="3"/>
  <c r="BQ45" i="3"/>
  <c r="BP25" i="3"/>
  <c r="BR6" i="3"/>
  <c r="BQ21" i="3"/>
  <c r="BS33" i="3"/>
  <c r="BR23" i="3"/>
  <c r="BQ29" i="3"/>
  <c r="BQ22" i="3"/>
  <c r="BQ37" i="3"/>
  <c r="BQ36" i="3"/>
  <c r="BQ30" i="3"/>
  <c r="BR41" i="3"/>
  <c r="BR39" i="3"/>
  <c r="BR14" i="3"/>
  <c r="BQ42" i="3"/>
  <c r="BS31" i="3"/>
  <c r="BR19" i="3"/>
  <c r="BQ28" i="3"/>
  <c r="BS8" i="3"/>
  <c r="BR26" i="3"/>
  <c r="BS12" i="3"/>
  <c r="BR12" i="3"/>
  <c r="BR10" i="3"/>
  <c r="BR33" i="3"/>
  <c r="BS14" i="3"/>
  <c r="BS18" i="3"/>
  <c r="BS21" i="3"/>
  <c r="BR40" i="3"/>
  <c r="BR11" i="3"/>
  <c r="BR28" i="3"/>
  <c r="BS41" i="3"/>
  <c r="BR9" i="3"/>
  <c r="BR29" i="3"/>
  <c r="BQ24" i="3"/>
  <c r="BQ14" i="3"/>
  <c r="BS7" i="3"/>
  <c r="BQ38" i="3"/>
  <c r="BR24" i="3"/>
  <c r="BS34" i="3"/>
  <c r="BS19" i="3"/>
  <c r="BR17" i="3"/>
  <c r="BP6" i="3"/>
  <c r="BS35" i="3"/>
  <c r="U62" i="3"/>
  <c r="BQ6" i="3"/>
  <c r="BR34" i="3"/>
  <c r="BQ18" i="3"/>
  <c r="BS38" i="3"/>
  <c r="BQ39" i="3"/>
  <c r="BQ7" i="3"/>
  <c r="BS22" i="3"/>
  <c r="BR37" i="3"/>
  <c r="BS42" i="3"/>
  <c r="AJ57" i="3"/>
  <c r="AO62" i="3"/>
  <c r="AC60" i="3"/>
  <c r="AG62" i="3"/>
  <c r="AG54" i="3"/>
  <c r="AJ58" i="3"/>
  <c r="BT35" i="3" l="1"/>
  <c r="AJ54" i="3"/>
  <c r="BT11" i="3"/>
  <c r="BT23" i="3"/>
  <c r="BT28" i="3"/>
  <c r="BT31" i="3"/>
  <c r="BT26" i="3"/>
  <c r="BT30" i="3"/>
  <c r="BV46" i="3"/>
  <c r="BY46" i="3"/>
  <c r="BQ20" i="3"/>
  <c r="BR8" i="3"/>
  <c r="BT8" i="3" s="1"/>
  <c r="BT29" i="3"/>
  <c r="BQ10" i="3"/>
  <c r="BT7" i="3"/>
  <c r="BR20" i="3"/>
  <c r="BT36" i="3"/>
  <c r="BT13" i="3"/>
  <c r="BX58" i="3"/>
  <c r="BT9" i="3"/>
  <c r="BT15" i="3"/>
  <c r="BW46" i="3"/>
  <c r="BW54" i="3" s="1"/>
  <c r="BT38" i="3"/>
  <c r="BT16" i="3"/>
  <c r="BT19" i="3"/>
  <c r="BT42" i="3"/>
  <c r="BT33" i="3"/>
  <c r="BS27" i="3"/>
  <c r="BT27" i="3" s="1"/>
  <c r="BT45" i="3"/>
  <c r="BX52" i="3"/>
  <c r="BY58" i="3"/>
  <c r="BS58" i="3"/>
  <c r="BY52" i="3"/>
  <c r="BR57" i="3"/>
  <c r="BX59" i="3"/>
  <c r="BR59" i="3"/>
  <c r="BS59" i="3"/>
  <c r="BY59" i="3"/>
  <c r="BV59" i="3"/>
  <c r="BV58" i="3"/>
  <c r="BV52" i="3"/>
  <c r="BS57" i="3"/>
  <c r="BW59" i="3"/>
  <c r="BW60" i="3" s="1"/>
  <c r="BT39" i="3"/>
  <c r="BT34" i="3"/>
  <c r="BR25" i="3"/>
  <c r="BT14" i="3"/>
  <c r="BX46" i="3"/>
  <c r="BT17" i="3"/>
  <c r="BT21" i="3"/>
  <c r="BQ25" i="3"/>
  <c r="BT22" i="3"/>
  <c r="BT41" i="3"/>
  <c r="BT24" i="3"/>
  <c r="BT6" i="3"/>
  <c r="BP46" i="3"/>
  <c r="BT12" i="3"/>
  <c r="BS25" i="3"/>
  <c r="BT37" i="3"/>
  <c r="BT18" i="3"/>
  <c r="BT40" i="3"/>
  <c r="AJ60" i="3"/>
  <c r="AC62" i="3"/>
  <c r="BS46" i="3" l="1"/>
  <c r="BT20" i="3"/>
  <c r="BR60" i="3"/>
  <c r="BV54" i="3"/>
  <c r="BY54" i="3"/>
  <c r="BR46" i="3"/>
  <c r="BQ46" i="3"/>
  <c r="BS60" i="3"/>
  <c r="BX60" i="3"/>
  <c r="BX62" i="3" s="1"/>
  <c r="BR52" i="3"/>
  <c r="BT10" i="3"/>
  <c r="BW62" i="3"/>
  <c r="BS52" i="3"/>
  <c r="BS54" i="3" s="1"/>
  <c r="BT57" i="3"/>
  <c r="BV60" i="3"/>
  <c r="BV62" i="3" s="1"/>
  <c r="BP52" i="3"/>
  <c r="BP54" i="3" s="1"/>
  <c r="BP58" i="3"/>
  <c r="BQ59" i="3"/>
  <c r="BQ60" i="3" s="1"/>
  <c r="BQ52" i="3"/>
  <c r="BY60" i="3"/>
  <c r="BY62" i="3" s="1"/>
  <c r="BP59" i="3"/>
  <c r="BX54" i="3"/>
  <c r="BT25" i="3"/>
  <c r="AJ62" i="3"/>
  <c r="BS62" i="3" l="1"/>
  <c r="BQ54" i="3"/>
  <c r="BR62" i="3"/>
  <c r="BQ62" i="3"/>
  <c r="BR54" i="3"/>
  <c r="BT52" i="3"/>
  <c r="BT58" i="3"/>
  <c r="BP60" i="3"/>
  <c r="BP62" i="3" s="1"/>
  <c r="BT59" i="3"/>
  <c r="BT46" i="3"/>
  <c r="F19" i="2"/>
  <c r="B3" i="1"/>
  <c r="B3" i="6" s="1"/>
  <c r="E19" i="2"/>
  <c r="E18" i="2"/>
  <c r="F18" i="2" s="1"/>
  <c r="E17" i="2"/>
  <c r="F17" i="2" s="1"/>
  <c r="AM5" i="3" s="1"/>
  <c r="E16" i="2"/>
  <c r="F16" i="2" s="1"/>
  <c r="C19" i="2"/>
  <c r="C18" i="2"/>
  <c r="C17" i="2"/>
  <c r="C16" i="2"/>
  <c r="C7" i="2"/>
  <c r="BT5" i="3" s="1"/>
  <c r="H9" i="2" l="1"/>
  <c r="J4" i="1" s="1"/>
  <c r="BT60" i="3"/>
  <c r="BT62" i="3" s="1"/>
  <c r="BT54" i="3"/>
  <c r="K19" i="2"/>
  <c r="BY5" i="3" s="1"/>
  <c r="BA5" i="4"/>
  <c r="W5" i="4"/>
  <c r="J16" i="2"/>
  <c r="I19" i="2"/>
  <c r="BS5" i="3" s="1"/>
  <c r="I18" i="2"/>
  <c r="BR5" i="3" s="1"/>
  <c r="I17" i="2"/>
  <c r="BQ5" i="3" s="1"/>
  <c r="J19" i="2"/>
  <c r="L19" i="2" s="1"/>
  <c r="I16" i="2"/>
  <c r="BP5" i="3" s="1"/>
  <c r="J17" i="2"/>
  <c r="J18" i="2"/>
  <c r="AI5" i="3"/>
  <c r="Z5" i="4"/>
  <c r="AH5" i="3"/>
  <c r="Y5" i="4"/>
  <c r="AL5" i="3"/>
  <c r="AC5" i="4"/>
  <c r="AD5" i="4"/>
  <c r="AN5" i="3"/>
  <c r="AE5" i="4"/>
  <c r="AG5" i="3"/>
  <c r="H31" i="1" s="1"/>
  <c r="H32" i="6" s="1"/>
  <c r="X5" i="4"/>
  <c r="AF5" i="4"/>
  <c r="AO5" i="3"/>
  <c r="H16" i="2"/>
  <c r="H17" i="2"/>
  <c r="H18" i="2"/>
  <c r="H19" i="2"/>
  <c r="G9" i="2"/>
  <c r="AF5" i="3"/>
  <c r="H43" i="1" l="1"/>
  <c r="J6" i="1"/>
  <c r="J43" i="1"/>
  <c r="J42" i="6" s="1"/>
  <c r="H14" i="1"/>
  <c r="H15" i="6" s="1"/>
  <c r="H7" i="1"/>
  <c r="H8" i="6" s="1"/>
  <c r="K4" i="1"/>
  <c r="K29" i="1" s="1"/>
  <c r="K5" i="1"/>
  <c r="K46" i="1" s="1"/>
  <c r="L6" i="6"/>
  <c r="L46" i="6" s="1"/>
  <c r="J5" i="1"/>
  <c r="J46" i="1" s="1"/>
  <c r="I9" i="2"/>
  <c r="J5" i="6"/>
  <c r="J45" i="6" s="1"/>
  <c r="J4" i="6"/>
  <c r="H36" i="1"/>
  <c r="H37" i="6" s="1"/>
  <c r="J19" i="1"/>
  <c r="C11" i="2"/>
  <c r="I4" i="6" s="1"/>
  <c r="I7" i="6" s="1"/>
  <c r="AZ5" i="4"/>
  <c r="AW5" i="4"/>
  <c r="AX5" i="4"/>
  <c r="BF5" i="4"/>
  <c r="AY5" i="4"/>
  <c r="H24" i="1"/>
  <c r="H25" i="6" s="1"/>
  <c r="L17" i="2"/>
  <c r="K17" i="2"/>
  <c r="BW5" i="3" s="1"/>
  <c r="J32" i="1"/>
  <c r="H15" i="1"/>
  <c r="H16" i="6" s="1"/>
  <c r="J8" i="1"/>
  <c r="H11" i="1"/>
  <c r="H12" i="6" s="1"/>
  <c r="J28" i="1"/>
  <c r="H12" i="1"/>
  <c r="H13" i="6" s="1"/>
  <c r="L16" i="2"/>
  <c r="K16" i="2"/>
  <c r="BV5" i="3" s="1"/>
  <c r="L18" i="2"/>
  <c r="K18" i="2"/>
  <c r="BX5" i="3" s="1"/>
  <c r="J37" i="1"/>
  <c r="J20" i="1"/>
  <c r="J34" i="1"/>
  <c r="H6" i="1"/>
  <c r="J15" i="1"/>
  <c r="J16" i="1"/>
  <c r="J27" i="1"/>
  <c r="J17" i="1"/>
  <c r="J38" i="1"/>
  <c r="J7" i="6"/>
  <c r="T7" i="6" s="1"/>
  <c r="J36" i="1"/>
  <c r="J29" i="1"/>
  <c r="J33" i="1"/>
  <c r="H10" i="1"/>
  <c r="H11" i="6" s="1"/>
  <c r="H49" i="6"/>
  <c r="H47" i="6"/>
  <c r="H48" i="6"/>
  <c r="H26" i="1"/>
  <c r="H27" i="6" s="1"/>
  <c r="K26" i="1"/>
  <c r="H23" i="1"/>
  <c r="H24" i="6" s="1"/>
  <c r="H16" i="1"/>
  <c r="H17" i="6" s="1"/>
  <c r="H34" i="1"/>
  <c r="H35" i="6" s="1"/>
  <c r="K20" i="1"/>
  <c r="K16" i="1"/>
  <c r="K36" i="1"/>
  <c r="K17" i="1"/>
  <c r="K10" i="1"/>
  <c r="H22" i="1"/>
  <c r="H23" i="6" s="1"/>
  <c r="H38" i="1"/>
  <c r="H39" i="6" s="1"/>
  <c r="H9" i="1"/>
  <c r="H10" i="6" s="1"/>
  <c r="K12" i="1"/>
  <c r="J21" i="1"/>
  <c r="H17" i="1"/>
  <c r="H18" i="6" s="1"/>
  <c r="H27" i="1"/>
  <c r="H28" i="6" s="1"/>
  <c r="H29" i="1"/>
  <c r="H30" i="6" s="1"/>
  <c r="J13" i="1"/>
  <c r="J12" i="1"/>
  <c r="J11" i="6"/>
  <c r="T11" i="6" s="1"/>
  <c r="K28" i="1"/>
  <c r="K30" i="1"/>
  <c r="K31" i="1"/>
  <c r="K25" i="1"/>
  <c r="H25" i="1"/>
  <c r="H26" i="6" s="1"/>
  <c r="H35" i="1"/>
  <c r="H36" i="6" s="1"/>
  <c r="J11" i="1"/>
  <c r="J25" i="1"/>
  <c r="J9" i="1"/>
  <c r="J18" i="1"/>
  <c r="K13" i="1"/>
  <c r="K38" i="1"/>
  <c r="K18" i="1"/>
  <c r="K33" i="1"/>
  <c r="H32" i="1"/>
  <c r="H33" i="6" s="1"/>
  <c r="H33" i="1"/>
  <c r="H34" i="6" s="1"/>
  <c r="H30" i="1"/>
  <c r="H31" i="6" s="1"/>
  <c r="J30" i="1"/>
  <c r="J14" i="1"/>
  <c r="J35" i="1"/>
  <c r="J26" i="1"/>
  <c r="K35" i="1"/>
  <c r="K21" i="1"/>
  <c r="K34" i="1"/>
  <c r="K8" i="1"/>
  <c r="H5" i="1"/>
  <c r="H46" i="1" s="1"/>
  <c r="H5" i="6"/>
  <c r="H45" i="6" s="1"/>
  <c r="H8" i="1"/>
  <c r="H9" i="6" s="1"/>
  <c r="H13" i="1"/>
  <c r="H14" i="6" s="1"/>
  <c r="J24" i="1"/>
  <c r="J22" i="1"/>
  <c r="J31" i="1"/>
  <c r="K11" i="1"/>
  <c r="K19" i="1"/>
  <c r="K15" i="1"/>
  <c r="K9" i="1"/>
  <c r="L4" i="6"/>
  <c r="K27" i="1"/>
  <c r="K14" i="1"/>
  <c r="H20" i="1"/>
  <c r="H21" i="6" s="1"/>
  <c r="H37" i="1"/>
  <c r="H38" i="6" s="1"/>
  <c r="H18" i="1"/>
  <c r="H19" i="6" s="1"/>
  <c r="H28" i="1"/>
  <c r="H29" i="6" s="1"/>
  <c r="H19" i="1"/>
  <c r="H20" i="6" s="1"/>
  <c r="H42" i="6"/>
  <c r="H21" i="1"/>
  <c r="H22" i="6" s="1"/>
  <c r="H7" i="6" l="1"/>
  <c r="H41" i="1"/>
  <c r="J41" i="1"/>
  <c r="K37" i="1"/>
  <c r="K32" i="1"/>
  <c r="L33" i="6" s="1"/>
  <c r="K22" i="1"/>
  <c r="K24" i="1"/>
  <c r="L25" i="6" s="1"/>
  <c r="J8" i="6"/>
  <c r="T8" i="6" s="1"/>
  <c r="J24" i="6"/>
  <c r="T24" i="6" s="1"/>
  <c r="J23" i="6"/>
  <c r="T23" i="6" s="1"/>
  <c r="J33" i="6"/>
  <c r="T33" i="6" s="1"/>
  <c r="L28" i="6"/>
  <c r="J25" i="6"/>
  <c r="T25" i="6" s="1"/>
  <c r="L36" i="6"/>
  <c r="L34" i="6"/>
  <c r="J12" i="6"/>
  <c r="T12" i="6" s="1"/>
  <c r="J13" i="6"/>
  <c r="T13" i="6" s="1"/>
  <c r="J22" i="6"/>
  <c r="T22" i="6" s="1"/>
  <c r="L18" i="6"/>
  <c r="J37" i="6"/>
  <c r="T37" i="6" s="1"/>
  <c r="J47" i="6"/>
  <c r="T47" i="6" s="1"/>
  <c r="L22" i="6"/>
  <c r="L48" i="6"/>
  <c r="J27" i="6"/>
  <c r="T27" i="6" s="1"/>
  <c r="L19" i="6"/>
  <c r="L13" i="6"/>
  <c r="L37" i="6"/>
  <c r="J35" i="6"/>
  <c r="T35" i="6" s="1"/>
  <c r="J20" i="6"/>
  <c r="T20" i="6" s="1"/>
  <c r="L15" i="6"/>
  <c r="L10" i="6"/>
  <c r="J36" i="6"/>
  <c r="T36" i="6" s="1"/>
  <c r="L39" i="6"/>
  <c r="J14" i="6"/>
  <c r="T14" i="6" s="1"/>
  <c r="L17" i="6"/>
  <c r="J39" i="6"/>
  <c r="T39" i="6" s="1"/>
  <c r="J21" i="6"/>
  <c r="T21" i="6" s="1"/>
  <c r="J26" i="6"/>
  <c r="T26" i="6" s="1"/>
  <c r="J15" i="6"/>
  <c r="T15" i="6" s="1"/>
  <c r="L14" i="6"/>
  <c r="L26" i="6"/>
  <c r="L21" i="6"/>
  <c r="J18" i="6"/>
  <c r="T18" i="6" s="1"/>
  <c r="J38" i="6"/>
  <c r="T38" i="6" s="1"/>
  <c r="J29" i="6"/>
  <c r="T29" i="6" s="1"/>
  <c r="K47" i="1"/>
  <c r="L47" i="6" s="1"/>
  <c r="L8" i="6"/>
  <c r="J31" i="6"/>
  <c r="T31" i="6" s="1"/>
  <c r="L32" i="6"/>
  <c r="J28" i="6"/>
  <c r="T28" i="6" s="1"/>
  <c r="L30" i="6"/>
  <c r="J49" i="6"/>
  <c r="T49" i="6" s="1"/>
  <c r="J30" i="6"/>
  <c r="T30" i="6" s="1"/>
  <c r="L12" i="6"/>
  <c r="L9" i="6"/>
  <c r="J19" i="6"/>
  <c r="T19" i="6" s="1"/>
  <c r="L31" i="6"/>
  <c r="L11" i="6"/>
  <c r="J17" i="6"/>
  <c r="T17" i="6" s="1"/>
  <c r="L38" i="6"/>
  <c r="J9" i="6"/>
  <c r="T9" i="6" s="1"/>
  <c r="L27" i="6"/>
  <c r="L16" i="6"/>
  <c r="L20" i="6"/>
  <c r="J32" i="6"/>
  <c r="T32" i="6" s="1"/>
  <c r="L35" i="6"/>
  <c r="J10" i="6"/>
  <c r="T10" i="6" s="1"/>
  <c r="L29" i="6"/>
  <c r="J48" i="6"/>
  <c r="T48" i="6" s="1"/>
  <c r="L49" i="6"/>
  <c r="J34" i="6"/>
  <c r="T34" i="6" s="1"/>
  <c r="J16" i="6"/>
  <c r="T16" i="6" s="1"/>
  <c r="G11" i="2"/>
  <c r="I20" i="6"/>
  <c r="I42" i="6"/>
  <c r="I39" i="6"/>
  <c r="I38" i="6"/>
  <c r="I25" i="6"/>
  <c r="I24" i="6"/>
  <c r="I10" i="6"/>
  <c r="I15" i="6"/>
  <c r="I29" i="6"/>
  <c r="I28" i="6"/>
  <c r="I14" i="6"/>
  <c r="I47" i="6"/>
  <c r="I33" i="6"/>
  <c r="I32" i="6"/>
  <c r="I11" i="6"/>
  <c r="I18" i="6"/>
  <c r="I35" i="6"/>
  <c r="I37" i="6"/>
  <c r="I36" i="6"/>
  <c r="I11" i="2"/>
  <c r="I5" i="6" s="1"/>
  <c r="I45" i="6" s="1"/>
  <c r="I27" i="6"/>
  <c r="I22" i="6"/>
  <c r="I9" i="6"/>
  <c r="I8" i="6"/>
  <c r="I19" i="6"/>
  <c r="I26" i="6"/>
  <c r="I13" i="6"/>
  <c r="I12" i="6"/>
  <c r="I23" i="6"/>
  <c r="I30" i="6"/>
  <c r="I17" i="6"/>
  <c r="I16" i="6"/>
  <c r="I31" i="6"/>
  <c r="I34" i="6"/>
  <c r="I21" i="6"/>
  <c r="I48" i="6"/>
  <c r="H11" i="2"/>
  <c r="K4" i="6" s="1"/>
  <c r="BE5" i="4"/>
  <c r="BC5" i="4"/>
  <c r="I49" i="6"/>
  <c r="BD5" i="4"/>
  <c r="J48" i="1"/>
  <c r="H48" i="1"/>
  <c r="I47" i="1" s="1"/>
  <c r="J44" i="1"/>
  <c r="H50" i="6"/>
  <c r="H40" i="6"/>
  <c r="H43" i="6" s="1"/>
  <c r="H44" i="1"/>
  <c r="K44" i="1" l="1"/>
  <c r="L23" i="6"/>
  <c r="I39" i="1"/>
  <c r="I40" i="1"/>
  <c r="J40" i="6"/>
  <c r="J43" i="6" s="1"/>
  <c r="L7" i="6"/>
  <c r="L24" i="6"/>
  <c r="J50" i="6"/>
  <c r="T50" i="6" s="1"/>
  <c r="K48" i="1"/>
  <c r="K33" i="6"/>
  <c r="K47" i="6"/>
  <c r="K42" i="6"/>
  <c r="K39" i="6"/>
  <c r="K17" i="6"/>
  <c r="K32" i="6"/>
  <c r="K10" i="6"/>
  <c r="K12" i="6"/>
  <c r="K14" i="6"/>
  <c r="K11" i="6"/>
  <c r="I50" i="6"/>
  <c r="K35" i="6"/>
  <c r="K13" i="6"/>
  <c r="K28" i="6"/>
  <c r="K37" i="6"/>
  <c r="K18" i="6"/>
  <c r="K15" i="6"/>
  <c r="K38" i="6"/>
  <c r="K31" i="6"/>
  <c r="K9" i="6"/>
  <c r="K36" i="6"/>
  <c r="K22" i="6"/>
  <c r="K21" i="6"/>
  <c r="K19" i="6"/>
  <c r="K8" i="6"/>
  <c r="K26" i="6"/>
  <c r="K25" i="6"/>
  <c r="K23" i="6"/>
  <c r="K20" i="6"/>
  <c r="K30" i="6"/>
  <c r="K29" i="6"/>
  <c r="K16" i="6"/>
  <c r="K27" i="6"/>
  <c r="K24" i="6"/>
  <c r="K34" i="6"/>
  <c r="K5" i="6"/>
  <c r="K45" i="6" s="1"/>
  <c r="M6" i="6"/>
  <c r="M46" i="6" s="1"/>
  <c r="I40" i="6"/>
  <c r="I43" i="6" s="1"/>
  <c r="M4" i="6"/>
  <c r="M13" i="6" s="1"/>
  <c r="K7" i="6"/>
  <c r="K49" i="6"/>
  <c r="K48" i="6"/>
  <c r="J50" i="1"/>
  <c r="J51" i="1" s="1"/>
  <c r="H50" i="1"/>
  <c r="H51" i="1" s="1"/>
  <c r="H52" i="6"/>
  <c r="H53" i="6" s="1"/>
  <c r="I18" i="1"/>
  <c r="I6" i="1"/>
  <c r="I33" i="1"/>
  <c r="I36" i="1"/>
  <c r="I17" i="1"/>
  <c r="I28" i="1"/>
  <c r="I35" i="1"/>
  <c r="I30" i="1"/>
  <c r="I15" i="1"/>
  <c r="I32" i="1"/>
  <c r="I37" i="1"/>
  <c r="I20" i="1"/>
  <c r="I19" i="1"/>
  <c r="I21" i="1"/>
  <c r="I8" i="1"/>
  <c r="I22" i="1"/>
  <c r="I23" i="1"/>
  <c r="I16" i="1"/>
  <c r="I11" i="1"/>
  <c r="I29" i="1"/>
  <c r="I13" i="1"/>
  <c r="I31" i="1"/>
  <c r="I12" i="1"/>
  <c r="I27" i="1"/>
  <c r="I25" i="1"/>
  <c r="I9" i="1"/>
  <c r="I14" i="1"/>
  <c r="I34" i="1"/>
  <c r="I10" i="1"/>
  <c r="I24" i="1"/>
  <c r="L50" i="6"/>
  <c r="I38" i="1"/>
  <c r="I26" i="1"/>
  <c r="I7" i="1"/>
  <c r="L40" i="6" l="1"/>
  <c r="L43" i="6" s="1"/>
  <c r="L52" i="6" s="1"/>
  <c r="J52" i="6"/>
  <c r="J53" i="6" s="1"/>
  <c r="T40" i="6"/>
  <c r="K50" i="1"/>
  <c r="I52" i="6"/>
  <c r="I53" i="6" s="1"/>
  <c r="M12" i="6"/>
  <c r="M15" i="6"/>
  <c r="M30" i="6"/>
  <c r="M47" i="6"/>
  <c r="M10" i="6"/>
  <c r="M39" i="6"/>
  <c r="M36" i="6"/>
  <c r="M37" i="6"/>
  <c r="M34" i="6"/>
  <c r="M11" i="6"/>
  <c r="M8" i="6"/>
  <c r="M9" i="6"/>
  <c r="M38" i="6"/>
  <c r="M19" i="6"/>
  <c r="M16" i="6"/>
  <c r="M17" i="6"/>
  <c r="M14" i="6"/>
  <c r="M23" i="6"/>
  <c r="M20" i="6"/>
  <c r="M21" i="6"/>
  <c r="M18" i="6"/>
  <c r="M27" i="6"/>
  <c r="M24" i="6"/>
  <c r="M25" i="6"/>
  <c r="M22" i="6"/>
  <c r="M31" i="6"/>
  <c r="M28" i="6"/>
  <c r="M29" i="6"/>
  <c r="M26" i="6"/>
  <c r="M35" i="6"/>
  <c r="M32" i="6"/>
  <c r="M33" i="6"/>
  <c r="K40" i="6"/>
  <c r="K43" i="6" s="1"/>
  <c r="K50" i="6"/>
  <c r="M49" i="6"/>
  <c r="M7" i="6"/>
  <c r="M48" i="6"/>
  <c r="I48" i="1"/>
  <c r="M40" i="6" l="1"/>
  <c r="M43" i="6" s="1"/>
  <c r="M50" i="6"/>
  <c r="K52" i="6"/>
  <c r="K53" i="6" s="1"/>
  <c r="M52" i="6" l="1"/>
  <c r="M53" i="6" s="1"/>
  <c r="X54" i="4" l="1"/>
  <c r="X57" i="4" s="1"/>
  <c r="X59" i="4" s="1"/>
  <c r="AC49" i="4"/>
  <c r="AC51" i="4" s="1"/>
  <c r="AC54" i="4"/>
  <c r="AC57" i="4" s="1"/>
  <c r="AC59" i="4" s="1"/>
  <c r="L53" i="6" l="1"/>
  <c r="K51" i="1"/>
  <c r="AA46" i="4"/>
  <c r="X49" i="4"/>
  <c r="X51" i="4" s="1"/>
  <c r="W49" i="4"/>
  <c r="W51" i="4" s="1"/>
  <c r="W54" i="4"/>
  <c r="AA49" i="4" l="1"/>
  <c r="AA51" i="4" s="1"/>
  <c r="AA54" i="4"/>
  <c r="AA57" i="4" s="1"/>
  <c r="AA59" i="4" s="1"/>
  <c r="W57" i="4"/>
  <c r="W59" i="4" s="1"/>
</calcChain>
</file>

<file path=xl/sharedStrings.xml><?xml version="1.0" encoding="utf-8"?>
<sst xmlns="http://schemas.openxmlformats.org/spreadsheetml/2006/main" count="894" uniqueCount="324">
  <si>
    <t>Propiedad</t>
  </si>
  <si>
    <t>Estado</t>
  </si>
  <si>
    <t>Año de construcción</t>
  </si>
  <si>
    <t>Fecha apertura</t>
  </si>
  <si>
    <t>Fecha de adquisición</t>
  </si>
  <si>
    <t>Porcentaje del ingreso por arrendamiento</t>
  </si>
  <si>
    <t xml:space="preserve">NOI          </t>
  </si>
  <si>
    <t>No. Sociedad</t>
  </si>
  <si>
    <t>A131</t>
  </si>
  <si>
    <t>Urban Village Ciudadela (antes Urban Village Patria)</t>
  </si>
  <si>
    <t>Jalisco</t>
  </si>
  <si>
    <t>A133</t>
  </si>
  <si>
    <t>Macroplaza del Valle</t>
  </si>
  <si>
    <t>Baja California</t>
  </si>
  <si>
    <t>A112</t>
  </si>
  <si>
    <t>Plaza Real Reynosa</t>
  </si>
  <si>
    <t>Tamaulipas</t>
  </si>
  <si>
    <t>A101</t>
  </si>
  <si>
    <t>Paseo Santa Catarina</t>
  </si>
  <si>
    <t>Nuevo León</t>
  </si>
  <si>
    <t>A118</t>
  </si>
  <si>
    <t>Plaza Palmira</t>
  </si>
  <si>
    <t>Campeche</t>
  </si>
  <si>
    <t>A109</t>
  </si>
  <si>
    <t>Plaza Nogalera</t>
  </si>
  <si>
    <t>Coahuila</t>
  </si>
  <si>
    <t>A119</t>
  </si>
  <si>
    <t>Gran Plaza Cancún</t>
  </si>
  <si>
    <t>Quintana Roo</t>
  </si>
  <si>
    <t>A106</t>
  </si>
  <si>
    <t>Plaza Bella Anáhuac</t>
  </si>
  <si>
    <t>A135</t>
  </si>
  <si>
    <t>Centro Comercial Paseo Reforma</t>
  </si>
  <si>
    <t>A108</t>
  </si>
  <si>
    <t>Plaza Real Saltillo</t>
  </si>
  <si>
    <t>A107</t>
  </si>
  <si>
    <t>Mall Plaza Lincoln</t>
  </si>
  <si>
    <t>A134</t>
  </si>
  <si>
    <t>Centro Comercial Lago Real</t>
  </si>
  <si>
    <t>Nayarit</t>
  </si>
  <si>
    <t>A113</t>
  </si>
  <si>
    <t>Plaza Monumental</t>
  </si>
  <si>
    <t>Chihuahua</t>
  </si>
  <si>
    <t>A117</t>
  </si>
  <si>
    <t>Plaza Universidad</t>
  </si>
  <si>
    <t>Hidalgo</t>
  </si>
  <si>
    <t>A130</t>
  </si>
  <si>
    <t>Plaza López Mateos</t>
  </si>
  <si>
    <t>A114</t>
  </si>
  <si>
    <t>Súper Plaza Las Haciendas</t>
  </si>
  <si>
    <t>Estado de México</t>
  </si>
  <si>
    <t>A115</t>
  </si>
  <si>
    <t>Plaza Bella Mexiquense</t>
  </si>
  <si>
    <t>A126</t>
  </si>
  <si>
    <t>Macroplaza Oaxaca</t>
  </si>
  <si>
    <t>Oaxaca</t>
  </si>
  <si>
    <t>A138</t>
  </si>
  <si>
    <t>Paseo San Juan</t>
  </si>
  <si>
    <t>Querétaro</t>
  </si>
  <si>
    <t>A105</t>
  </si>
  <si>
    <t>Plaza Bella Huinalá</t>
  </si>
  <si>
    <t>A132</t>
  </si>
  <si>
    <t>Centro Comercial Puerta de Hierro</t>
  </si>
  <si>
    <t>A128</t>
  </si>
  <si>
    <t>Walmart San Jose del Cabo</t>
  </si>
  <si>
    <t>Baja California Sur</t>
  </si>
  <si>
    <t>A127</t>
  </si>
  <si>
    <t>Walmart Ensenada</t>
  </si>
  <si>
    <t>A103</t>
  </si>
  <si>
    <t>Paseo Puebla</t>
  </si>
  <si>
    <t>Puebla</t>
  </si>
  <si>
    <t>A136</t>
  </si>
  <si>
    <t>Plaza Reynosa</t>
  </si>
  <si>
    <t>A110</t>
  </si>
  <si>
    <t>Paseo Solidaridad</t>
  </si>
  <si>
    <t>Sonora</t>
  </si>
  <si>
    <t>A111</t>
  </si>
  <si>
    <t>Plaza Bella Ramos Arizpe</t>
  </si>
  <si>
    <t>A129</t>
  </si>
  <si>
    <t>Macroplaza San Luis</t>
  </si>
  <si>
    <t>San Luis Potosí</t>
  </si>
  <si>
    <t>A122</t>
  </si>
  <si>
    <t>Paseo Alcalde</t>
  </si>
  <si>
    <t>A139</t>
  </si>
  <si>
    <t>Punto San Isidro</t>
  </si>
  <si>
    <t>A140</t>
  </si>
  <si>
    <t xml:space="preserve">Punto Oriente </t>
  </si>
  <si>
    <t>A123</t>
  </si>
  <si>
    <r>
      <t>Paseo Hipódromo</t>
    </r>
    <r>
      <rPr>
        <b/>
        <vertAlign val="superscript"/>
        <sz val="8"/>
        <color rgb="FF000000"/>
        <rFont val="Times New Roman"/>
        <family val="1"/>
      </rPr>
      <t>[1]</t>
    </r>
  </si>
  <si>
    <t>A125</t>
  </si>
  <si>
    <t>Urban Village</t>
  </si>
  <si>
    <t xml:space="preserve">TOTAL CONTROLADAS </t>
  </si>
  <si>
    <t>A0OE</t>
  </si>
  <si>
    <t xml:space="preserve">Operadora </t>
  </si>
  <si>
    <t>Propiedades no controlada</t>
  </si>
  <si>
    <t>A121</t>
  </si>
  <si>
    <t>Macroplaza Insurgentes</t>
  </si>
  <si>
    <t xml:space="preserve">Baja California </t>
  </si>
  <si>
    <t>A10201</t>
  </si>
  <si>
    <t>Macroplaza Estadio Morelia</t>
  </si>
  <si>
    <t xml:space="preserve">Michoacan </t>
  </si>
  <si>
    <t>A10202</t>
  </si>
  <si>
    <t>Plaza Bella Frontera</t>
  </si>
  <si>
    <t xml:space="preserve">Coahuila </t>
  </si>
  <si>
    <t xml:space="preserve">TOTAL PARTICIPACIÓN NO CONTROLADORA </t>
  </si>
  <si>
    <t>Planigrupo Latam, S.A.B. de C.V. y Subsidiarias</t>
  </si>
  <si>
    <t xml:space="preserve">Integración de ingresos por arrendamiento </t>
  </si>
  <si>
    <t>Año</t>
  </si>
  <si>
    <t>Periodo</t>
  </si>
  <si>
    <t>Año Anterior</t>
  </si>
  <si>
    <t>1T</t>
  </si>
  <si>
    <t>2T</t>
  </si>
  <si>
    <t>3T</t>
  </si>
  <si>
    <t>4T</t>
  </si>
  <si>
    <t>1Q</t>
  </si>
  <si>
    <t>2Q</t>
  </si>
  <si>
    <t>3Q</t>
  </si>
  <si>
    <t>4Q</t>
  </si>
  <si>
    <t>Trimestre</t>
  </si>
  <si>
    <t>Mes cierre</t>
  </si>
  <si>
    <t>Fecha cierre</t>
  </si>
  <si>
    <t>Meses</t>
  </si>
  <si>
    <t>Soc</t>
  </si>
  <si>
    <t>Núm</t>
  </si>
  <si>
    <t>Mall</t>
  </si>
  <si>
    <t>Tradename</t>
  </si>
  <si>
    <t>Portfolio</t>
  </si>
  <si>
    <t>Estatus</t>
  </si>
  <si>
    <t>PG CKD A F/00927 Santa Catarina</t>
  </si>
  <si>
    <t>CKD</t>
  </si>
  <si>
    <t>Operating</t>
  </si>
  <si>
    <t>PG CKD F F/00937 Reynosa</t>
  </si>
  <si>
    <t>Plaza Real Diamante Reynosa</t>
  </si>
  <si>
    <t>PG CKD G F/00972 Anahuac</t>
  </si>
  <si>
    <t>Plaza Bella Anahuac</t>
  </si>
  <si>
    <t>PG CKD H F/00973 Saltillo</t>
  </si>
  <si>
    <t>PG CKD I F/00974 Palmira</t>
  </si>
  <si>
    <t>PG CKD J F/00975 Lincoln</t>
  </si>
  <si>
    <t xml:space="preserve">Mall Plaza Lincoln </t>
  </si>
  <si>
    <t>PG CKD K F/00976 Juárez</t>
  </si>
  <si>
    <t>Monumental Juarez</t>
  </si>
  <si>
    <t>PG CKD L F/00977 Huehuetoca</t>
  </si>
  <si>
    <t xml:space="preserve">Super Plaza Las Haciendas </t>
  </si>
  <si>
    <t>PG CKD M F/00978 Tecamac</t>
  </si>
  <si>
    <t>17319-1</t>
  </si>
  <si>
    <t>PG CKD Puebla F17319-1</t>
  </si>
  <si>
    <t xml:space="preserve">Paseo Puebla </t>
  </si>
  <si>
    <t>PG CKD F F/01067</t>
  </si>
  <si>
    <t>Ensenada</t>
  </si>
  <si>
    <t>PG CKD F F/01068</t>
  </si>
  <si>
    <t xml:space="preserve">San Jose Los Cabos </t>
  </si>
  <si>
    <t>CKD-GFG</t>
  </si>
  <si>
    <t>PG CKD C F/00929 Oaxaca</t>
  </si>
  <si>
    <t>PG CKD F2100 Hermosillo</t>
  </si>
  <si>
    <t>Hermosillo</t>
  </si>
  <si>
    <t>A120</t>
  </si>
  <si>
    <t>PG CKD N F/00979 Tijuana</t>
  </si>
  <si>
    <t>Macro Plaza Insurgentes</t>
  </si>
  <si>
    <t>Management trust</t>
  </si>
  <si>
    <t>PG CKD S F/01069</t>
  </si>
  <si>
    <t xml:space="preserve">Macroplaza San Luis </t>
  </si>
  <si>
    <t>Development</t>
  </si>
  <si>
    <t>PG CKD D F/00930 Batan</t>
  </si>
  <si>
    <t xml:space="preserve">Paseo Alcalde </t>
  </si>
  <si>
    <t>PG CKD E F/00936</t>
  </si>
  <si>
    <t xml:space="preserve">Paseo Hipodromo </t>
  </si>
  <si>
    <t>PG CKD O F/00980</t>
  </si>
  <si>
    <t>(no project assigned)</t>
  </si>
  <si>
    <t>N/A</t>
  </si>
  <si>
    <t>PG CKD P F/00981</t>
  </si>
  <si>
    <t>Garza Sada</t>
  </si>
  <si>
    <t>A104</t>
  </si>
  <si>
    <t>PG CKD B F/00928 Puebla</t>
  </si>
  <si>
    <t>Glider Pac</t>
  </si>
  <si>
    <t>Glider Pachuca, S. de R.L. de C.V.</t>
  </si>
  <si>
    <t xml:space="preserve">Plaza Universidad </t>
  </si>
  <si>
    <t>K4</t>
  </si>
  <si>
    <t>Glider Sal</t>
  </si>
  <si>
    <t>Glider Saltillo, S. de R.L. de C.V.</t>
  </si>
  <si>
    <t>La Nogalera</t>
  </si>
  <si>
    <t>Glider Mon</t>
  </si>
  <si>
    <t>Glider Monterrey, S. de R.L. de C.V.</t>
  </si>
  <si>
    <t xml:space="preserve">Plaza Bella Huinala </t>
  </si>
  <si>
    <t>Glider Can</t>
  </si>
  <si>
    <t>Glider Cancún, S. de R.L. de C.V.</t>
  </si>
  <si>
    <t xml:space="preserve">Gran Plaza Cancun </t>
  </si>
  <si>
    <t>A137</t>
  </si>
  <si>
    <t>Glider Rio</t>
  </si>
  <si>
    <t>Glider Rio Bravo, S. de R.L. de C.V.</t>
  </si>
  <si>
    <t xml:space="preserve">Paseo Rio Bravo </t>
  </si>
  <si>
    <t>S9</t>
  </si>
  <si>
    <t>Glider Pas</t>
  </si>
  <si>
    <t>Glider Paseo de la Reforma, S. de R.L. de C.V.</t>
  </si>
  <si>
    <t xml:space="preserve">Paseo Reforma </t>
  </si>
  <si>
    <t>Glider Gua</t>
  </si>
  <si>
    <t>Glider Guadalajara, S. de R.L. de C.V.</t>
  </si>
  <si>
    <t>La Ciudadela</t>
  </si>
  <si>
    <t>Glider Rey</t>
  </si>
  <si>
    <t>Glider Reynosa, S. de R.L. de C.V.</t>
  </si>
  <si>
    <t>Paseo Reynosa</t>
  </si>
  <si>
    <t>Glider Mex</t>
  </si>
  <si>
    <t>Glider Mexicali, S. de R.L. de C.V.</t>
  </si>
  <si>
    <t>Galerias del Valle</t>
  </si>
  <si>
    <t>Glider Ciu</t>
  </si>
  <si>
    <t>Glider Ciudad Juárez, S. de R.L. de C.V.</t>
  </si>
  <si>
    <t xml:space="preserve">Lopez Mateos </t>
  </si>
  <si>
    <t>Glider Nue</t>
  </si>
  <si>
    <t>Glider Nuevo Vallarta, S. de R.L. de C.V.</t>
  </si>
  <si>
    <t xml:space="preserve">Lago Real </t>
  </si>
  <si>
    <t>Glider San</t>
  </si>
  <si>
    <t>Glider San Juan del Rio, S. de R.L. de C.V.</t>
  </si>
  <si>
    <t xml:space="preserve">Paseo San Juan </t>
  </si>
  <si>
    <t>Glider Hid</t>
  </si>
  <si>
    <t>Glider Hidalgo, S. de R.L. de C.V.</t>
  </si>
  <si>
    <t xml:space="preserve">Puerto Hierro </t>
  </si>
  <si>
    <t>PSI</t>
  </si>
  <si>
    <t>Fideicomiso PG CIB/2854</t>
  </si>
  <si>
    <t>PO</t>
  </si>
  <si>
    <t>Fideicomiso PG CIB/2855</t>
  </si>
  <si>
    <t>Punto Oriente</t>
  </si>
  <si>
    <t xml:space="preserve">Ramos Arizpe </t>
  </si>
  <si>
    <t xml:space="preserve">AP Ramos Arizpe </t>
  </si>
  <si>
    <t>Ramos</t>
  </si>
  <si>
    <t>Operadora</t>
  </si>
  <si>
    <t xml:space="preserve">Operadora de Estacionamientos </t>
  </si>
  <si>
    <t>Operadora Estacionamiento</t>
  </si>
  <si>
    <t>Total Consolidados</t>
  </si>
  <si>
    <t>Total Minoritarias</t>
  </si>
  <si>
    <t>Gran Total</t>
  </si>
  <si>
    <t>Ingresos por Arrendamiento</t>
  </si>
  <si>
    <t>Ingresos con OEN</t>
  </si>
  <si>
    <t>Total</t>
  </si>
  <si>
    <t>Neto</t>
  </si>
  <si>
    <t>Ingresos Trimestrales Netos</t>
  </si>
  <si>
    <t>Ingresos Acumulados Netos</t>
  </si>
  <si>
    <t>Total Minoritarias Ajustadas</t>
  </si>
  <si>
    <t>Total Métricas</t>
  </si>
  <si>
    <t xml:space="preserve">TOTAL </t>
  </si>
  <si>
    <t>CONTROLADAS + OEN</t>
  </si>
  <si>
    <t>NOI</t>
  </si>
  <si>
    <t xml:space="preserve"> PG CIB/2100</t>
  </si>
  <si>
    <t xml:space="preserve">WALPG MEX I S DE RL DE CV </t>
  </si>
  <si>
    <t>PLAZA BELLA FRONTERA</t>
  </si>
  <si>
    <t>Walpg</t>
  </si>
  <si>
    <t>WALPG MEX I S DE RL DE CV  (MORELIA)</t>
  </si>
  <si>
    <t>MACROPLAZA ESTADIO</t>
  </si>
  <si>
    <t>AP PLANIGRUPO RAMOS ARIZPE S. DE R.L. DE C.V.</t>
  </si>
  <si>
    <t>PLAZA BELLA RAMOS ARIZPE</t>
  </si>
  <si>
    <t>Apollo</t>
  </si>
  <si>
    <t xml:space="preserve">F/1002 </t>
  </si>
  <si>
    <t>MACROPLAZA INSURGENTES TIJUANA</t>
  </si>
  <si>
    <t>Fro</t>
  </si>
  <si>
    <t>Mor</t>
  </si>
  <si>
    <t>Ram</t>
  </si>
  <si>
    <t>Tij</t>
  </si>
  <si>
    <t>Plaza</t>
  </si>
  <si>
    <t>Pal</t>
  </si>
  <si>
    <t>Rey</t>
  </si>
  <si>
    <t>Mon</t>
  </si>
  <si>
    <t>Sal</t>
  </si>
  <si>
    <t>Lin</t>
  </si>
  <si>
    <t>Esc</t>
  </si>
  <si>
    <t>Hue</t>
  </si>
  <si>
    <t>Mex</t>
  </si>
  <si>
    <t>Sta</t>
  </si>
  <si>
    <t>Pue</t>
  </si>
  <si>
    <t>Oax</t>
  </si>
  <si>
    <t>Ens</t>
  </si>
  <si>
    <t>Cab</t>
  </si>
  <si>
    <t>Her</t>
  </si>
  <si>
    <t>SLP</t>
  </si>
  <si>
    <t>Alc</t>
  </si>
  <si>
    <t>Hip</t>
  </si>
  <si>
    <t>GS</t>
  </si>
  <si>
    <t>Nog</t>
  </si>
  <si>
    <t>Hui</t>
  </si>
  <si>
    <t>Pach</t>
  </si>
  <si>
    <t>Can</t>
  </si>
  <si>
    <t>Lop</t>
  </si>
  <si>
    <t>Gua</t>
  </si>
  <si>
    <t>Hid</t>
  </si>
  <si>
    <t>Mexi</t>
  </si>
  <si>
    <t>Vall</t>
  </si>
  <si>
    <t>Ref</t>
  </si>
  <si>
    <t>GRey</t>
  </si>
  <si>
    <t>Sjuan</t>
  </si>
  <si>
    <t>SAP</t>
  </si>
  <si>
    <t>NOI Trimestral</t>
  </si>
  <si>
    <t>NOI Acumulado</t>
  </si>
  <si>
    <t>Comparativo vs Año anterior</t>
  </si>
  <si>
    <t>Trimestre PY</t>
  </si>
  <si>
    <t>Periodo Año Ant.</t>
  </si>
  <si>
    <t>Fecha cierre PY</t>
  </si>
  <si>
    <t>Meses PY</t>
  </si>
  <si>
    <t>Propiedades con participación no controladora</t>
  </si>
  <si>
    <t>TOTAL NO CONTROLADAS</t>
  </si>
  <si>
    <r>
      <t>TOTAL CONTROLADAS</t>
    </r>
    <r>
      <rPr>
        <b/>
        <vertAlign val="superscript"/>
        <sz val="8"/>
        <color rgb="FF000000"/>
        <rFont val="Times New Roman"/>
        <family val="1"/>
      </rPr>
      <t>[3]</t>
    </r>
  </si>
  <si>
    <t>Total 2021</t>
  </si>
  <si>
    <t>1Q 2021</t>
  </si>
  <si>
    <t>2Q 2021</t>
  </si>
  <si>
    <t>3Q 2021</t>
  </si>
  <si>
    <t>4Q 2021</t>
  </si>
  <si>
    <t>DIFERENCIAS</t>
  </si>
  <si>
    <t>Detalle de Ingresos por plaza</t>
  </si>
  <si>
    <t>Detalle de NOI por plaza</t>
  </si>
  <si>
    <t>[se extrae de PT "10- Revenue- NOI - Mng Fees XXX 20XX.xlsx"]</t>
  </si>
  <si>
    <t>[se extrae de PT "6-EF combinado_ Ingresos por arrendamiento XXX 20XX.xlsx"]</t>
  </si>
  <si>
    <t>AJE</t>
  </si>
  <si>
    <t>Income from retail space rental</t>
  </si>
  <si>
    <t>Income from maintenance and reimbursables</t>
  </si>
  <si>
    <t>Income from parking</t>
  </si>
  <si>
    <t xml:space="preserve">Other income </t>
  </si>
  <si>
    <t>RENTS</t>
  </si>
  <si>
    <t xml:space="preserve">CAM REVENUE </t>
  </si>
  <si>
    <t>PARKING</t>
  </si>
  <si>
    <t>OTHER</t>
  </si>
  <si>
    <t>Urban Village Ciudadela</t>
  </si>
  <si>
    <t>1Q 2022</t>
  </si>
  <si>
    <t>Total 2022</t>
  </si>
  <si>
    <t>2Q 2022</t>
  </si>
  <si>
    <t>3Q 2022</t>
  </si>
  <si>
    <t>4Q 2022</t>
  </si>
  <si>
    <t>O2</t>
  </si>
  <si>
    <t>S5+Ramos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</si>
</sst>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_-;_-* \(#,##0\);_-* &quot;-&quot;??_-;_-@_-"/>
    <numFmt numFmtId="167" formatCode="#,##0;\(#,##0\);_-\ &quot;-&quot;_-;_-@_-"/>
    <numFmt numFmtId="168" formatCode="#,##0.0%_);\(#,##0.0%\)"/>
    <numFmt numFmtId="169" formatCode="#,##0_);\(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FFFFFF"/>
      <name val="Times New Roman"/>
      <family val="1"/>
    </font>
    <font>
      <b/>
      <sz val="7"/>
      <color theme="1"/>
      <name val="Times New Roman"/>
      <family val="1"/>
    </font>
    <font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Times New Roman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9"/>
      <color rgb="FF000000"/>
      <name val="Times New Roman"/>
      <family val="1"/>
    </font>
    <font>
      <sz val="11"/>
      <color theme="0" tint="-0.499984740745262"/>
      <name val="Calibri"/>
      <family val="2"/>
      <scheme val="minor"/>
    </font>
    <font>
      <b/>
      <i/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b/>
      <i/>
      <sz val="11"/>
      <color theme="0" tint="-0.499984740745262"/>
      <name val="Calibri"/>
      <family val="2"/>
      <scheme val="minor"/>
    </font>
    <font>
      <sz val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/>
      <right style="medium">
        <color rgb="FF757171"/>
      </right>
      <top/>
      <bottom style="medium">
        <color rgb="FF75717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17" fontId="8" fillId="4" borderId="3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9" fontId="10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4" fontId="11" fillId="0" borderId="0" xfId="1" applyNumberFormat="1" applyFont="1"/>
    <xf numFmtId="0" fontId="10" fillId="4" borderId="2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15" fontId="3" fillId="0" borderId="0" xfId="0" applyNumberFormat="1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7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0" fillId="0" borderId="0" xfId="0" applyNumberFormat="1"/>
    <xf numFmtId="164" fontId="3" fillId="7" borderId="4" xfId="2" applyNumberFormat="1" applyFont="1" applyFill="1" applyBorder="1"/>
    <xf numFmtId="0" fontId="2" fillId="3" borderId="0" xfId="0" applyNumberFormat="1" applyFont="1" applyFill="1" applyAlignment="1">
      <alignment horizontal="center" wrapText="1"/>
    </xf>
    <xf numFmtId="165" fontId="0" fillId="0" borderId="0" xfId="0" applyNumberFormat="1"/>
    <xf numFmtId="165" fontId="8" fillId="0" borderId="2" xfId="0" applyNumberFormat="1" applyFont="1" applyBorder="1" applyAlignment="1">
      <alignment vertical="center" wrapText="1"/>
    </xf>
    <xf numFmtId="165" fontId="8" fillId="4" borderId="2" xfId="0" applyNumberFormat="1" applyFont="1" applyFill="1" applyBorder="1" applyAlignment="1">
      <alignment vertical="center" wrapText="1"/>
    </xf>
    <xf numFmtId="165" fontId="10" fillId="4" borderId="2" xfId="0" applyNumberFormat="1" applyFont="1" applyFill="1" applyBorder="1" applyAlignment="1">
      <alignment vertical="center" wrapText="1"/>
    </xf>
    <xf numFmtId="165" fontId="0" fillId="6" borderId="0" xfId="2" applyNumberFormat="1" applyFont="1" applyFill="1"/>
    <xf numFmtId="165" fontId="3" fillId="5" borderId="0" xfId="2" applyNumberFormat="1" applyFont="1" applyFill="1"/>
    <xf numFmtId="165" fontId="3" fillId="7" borderId="4" xfId="2" applyNumberFormat="1" applyFont="1" applyFill="1" applyBorder="1"/>
    <xf numFmtId="165" fontId="0" fillId="0" borderId="0" xfId="1" applyNumberFormat="1" applyFont="1"/>
    <xf numFmtId="165" fontId="0" fillId="6" borderId="0" xfId="1" applyNumberFormat="1" applyFont="1" applyFill="1"/>
    <xf numFmtId="165" fontId="0" fillId="0" borderId="0" xfId="2" applyNumberFormat="1" applyFont="1" applyFill="1"/>
    <xf numFmtId="165" fontId="0" fillId="0" borderId="0" xfId="0" applyNumberFormat="1" applyFill="1"/>
    <xf numFmtId="165" fontId="0" fillId="0" borderId="0" xfId="1" applyNumberFormat="1" applyFont="1" applyFill="1"/>
    <xf numFmtId="9" fontId="0" fillId="0" borderId="0" xfId="0" applyNumberFormat="1"/>
    <xf numFmtId="0" fontId="16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" fontId="16" fillId="8" borderId="7" xfId="0" applyNumberFormat="1" applyFont="1" applyFill="1" applyBorder="1" applyAlignment="1">
      <alignment horizontal="center"/>
    </xf>
    <xf numFmtId="166" fontId="17" fillId="9" borderId="7" xfId="0" applyNumberFormat="1" applyFont="1" applyFill="1" applyBorder="1"/>
    <xf numFmtId="166" fontId="17" fillId="0" borderId="7" xfId="0" applyNumberFormat="1" applyFont="1" applyBorder="1"/>
    <xf numFmtId="166" fontId="14" fillId="0" borderId="8" xfId="0" applyNumberFormat="1" applyFont="1" applyBorder="1"/>
    <xf numFmtId="166" fontId="0" fillId="0" borderId="0" xfId="0" applyNumberFormat="1"/>
    <xf numFmtId="0" fontId="1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/>
    <xf numFmtId="167" fontId="8" fillId="0" borderId="2" xfId="0" applyNumberFormat="1" applyFont="1" applyBorder="1" applyAlignment="1">
      <alignment horizontal="center" vertical="center" wrapText="1"/>
    </xf>
    <xf numFmtId="167" fontId="8" fillId="4" borderId="2" xfId="0" applyNumberFormat="1" applyFont="1" applyFill="1" applyBorder="1" applyAlignment="1">
      <alignment horizontal="center" vertical="center" wrapText="1"/>
    </xf>
    <xf numFmtId="167" fontId="10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 wrapText="1"/>
    </xf>
    <xf numFmtId="167" fontId="20" fillId="4" borderId="2" xfId="0" applyNumberFormat="1" applyFont="1" applyFill="1" applyBorder="1" applyAlignment="1">
      <alignment horizontal="center" vertical="center" wrapText="1"/>
    </xf>
    <xf numFmtId="9" fontId="20" fillId="4" borderId="2" xfId="0" applyNumberFormat="1" applyFont="1" applyFill="1" applyBorder="1" applyAlignment="1">
      <alignment horizontal="center" vertical="center" wrapText="1"/>
    </xf>
    <xf numFmtId="168" fontId="11" fillId="0" borderId="0" xfId="1" applyNumberFormat="1" applyFont="1"/>
    <xf numFmtId="0" fontId="22" fillId="0" borderId="0" xfId="0" applyFont="1"/>
    <xf numFmtId="165" fontId="19" fillId="0" borderId="0" xfId="0" applyNumberFormat="1" applyFont="1"/>
    <xf numFmtId="167" fontId="23" fillId="0" borderId="2" xfId="0" applyNumberFormat="1" applyFont="1" applyBorder="1" applyAlignment="1">
      <alignment horizontal="center" vertical="center" wrapText="1"/>
    </xf>
    <xf numFmtId="167" fontId="23" fillId="4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9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17" fontId="2" fillId="3" borderId="0" xfId="0" applyNumberFormat="1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17" fontId="2" fillId="3" borderId="0" xfId="0" applyNumberFormat="1" applyFont="1" applyFill="1" applyAlignment="1">
      <alignment horizontal="center"/>
    </xf>
    <xf numFmtId="17" fontId="2" fillId="11" borderId="0" xfId="0" applyNumberFormat="1" applyFont="1" applyFill="1" applyAlignment="1">
      <alignment horizontal="center"/>
    </xf>
    <xf numFmtId="17" fontId="2" fillId="11" borderId="0" xfId="0" applyNumberFormat="1" applyFont="1" applyFill="1" applyAlignment="1">
      <alignment horizontal="center" wrapText="1"/>
    </xf>
    <xf numFmtId="17" fontId="2" fillId="11" borderId="0" xfId="0" applyNumberFormat="1" applyFont="1" applyFill="1" applyAlignment="1">
      <alignment horizontal="center" wrapText="1"/>
    </xf>
    <xf numFmtId="0" fontId="2" fillId="11" borderId="0" xfId="0" applyNumberFormat="1" applyFont="1" applyFill="1" applyAlignment="1">
      <alignment horizontal="center" wrapText="1"/>
    </xf>
    <xf numFmtId="0" fontId="2" fillId="11" borderId="0" xfId="0" applyNumberFormat="1" applyFont="1" applyFill="1" applyAlignment="1">
      <alignment horizontal="center" wrapText="1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Millares 3 3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martinez\OneDrive%20-%20PLANIGRUPO\06%20-%20Informaci&#243;n%20BMV%20-%20CNBV\2021\2021%20Reporte%20Anual%20Latam\6-EF%20combinado_%20Ingresos%20por%20arrendamiento%20Dic%202021%20(Segmen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ing"/>
      <sheetName val="Detalle de Ingresos"/>
      <sheetName val="IPO-Leasing"/>
      <sheetName val="dc"/>
      <sheetName val="Reporte"/>
      <sheetName val="Leasing by mall"/>
      <sheetName val="Hoja1"/>
    </sheetNames>
    <sheetDataSet>
      <sheetData sheetId="0" refreshError="1"/>
      <sheetData sheetId="1">
        <row r="43">
          <cell r="D43">
            <v>58721637.5</v>
          </cell>
          <cell r="E43">
            <v>0</v>
          </cell>
          <cell r="F43">
            <v>54176754.450000003</v>
          </cell>
          <cell r="G43">
            <v>68735595.929999992</v>
          </cell>
          <cell r="H43">
            <v>55748655.729999997</v>
          </cell>
          <cell r="I43">
            <v>42252093.480000004</v>
          </cell>
          <cell r="J43">
            <v>24077769.830000002</v>
          </cell>
          <cell r="K43">
            <v>35558733.960000008</v>
          </cell>
          <cell r="L43">
            <v>40827479.730000004</v>
          </cell>
          <cell r="M43">
            <v>21635403.310000002</v>
          </cell>
          <cell r="N43">
            <v>20481035.379999995</v>
          </cell>
          <cell r="O43">
            <v>0</v>
          </cell>
          <cell r="P43">
            <v>11340744.48</v>
          </cell>
          <cell r="Q43">
            <v>21767609.120000001</v>
          </cell>
          <cell r="R43">
            <v>32202480.899999995</v>
          </cell>
          <cell r="S43">
            <v>18305265.440000001</v>
          </cell>
          <cell r="T43">
            <v>15006423.869999999</v>
          </cell>
          <cell r="U43">
            <v>19737981.880000003</v>
          </cell>
          <cell r="V43">
            <v>5220817.7200000007</v>
          </cell>
          <cell r="W43">
            <v>61604356.339999996</v>
          </cell>
          <cell r="X43">
            <v>61346184.149999999</v>
          </cell>
          <cell r="Y43">
            <v>62002140.18</v>
          </cell>
          <cell r="Z43">
            <v>6879256.4800000004</v>
          </cell>
          <cell r="AA43">
            <v>76727680.930000007</v>
          </cell>
          <cell r="AB43">
            <v>24520144.690000001</v>
          </cell>
          <cell r="AC43">
            <v>46279213.469999999</v>
          </cell>
          <cell r="AD43">
            <v>9415358.0900000017</v>
          </cell>
          <cell r="AE43">
            <v>13329368.060000001</v>
          </cell>
          <cell r="AF43">
            <v>27392040.050000001</v>
          </cell>
          <cell r="AG43">
            <v>53443060.080000006</v>
          </cell>
          <cell r="AH43">
            <v>15092086.649999999</v>
          </cell>
          <cell r="AI43">
            <v>60460299.099999994</v>
          </cell>
          <cell r="AJ43">
            <v>16286508.770000001</v>
          </cell>
          <cell r="AK43">
            <v>22501525.000000004</v>
          </cell>
          <cell r="AL43">
            <v>1103075704.75</v>
          </cell>
          <cell r="AN43">
            <v>191298212.84</v>
          </cell>
          <cell r="AO43">
            <v>19932799.990000002</v>
          </cell>
          <cell r="AR43">
            <v>29685053.949999996</v>
          </cell>
          <cell r="AS43">
            <v>10887694.52</v>
          </cell>
        </row>
        <row r="44">
          <cell r="D44">
            <v>9347816.8300000001</v>
          </cell>
          <cell r="E44">
            <v>0</v>
          </cell>
          <cell r="F44">
            <v>8534258.3599999994</v>
          </cell>
          <cell r="G44">
            <v>8120331.5700000012</v>
          </cell>
          <cell r="H44">
            <v>7391518.79</v>
          </cell>
          <cell r="I44">
            <v>4838245.12</v>
          </cell>
          <cell r="J44">
            <v>2942751.67</v>
          </cell>
          <cell r="K44">
            <v>4356764.17</v>
          </cell>
          <cell r="L44">
            <v>4578500.38</v>
          </cell>
          <cell r="M44">
            <v>5303892.46</v>
          </cell>
          <cell r="N44">
            <v>3302714.97</v>
          </cell>
          <cell r="O44">
            <v>0</v>
          </cell>
          <cell r="P44">
            <v>80895.520000000004</v>
          </cell>
          <cell r="Q44">
            <v>0</v>
          </cell>
          <cell r="R44">
            <v>4540668.54</v>
          </cell>
          <cell r="S44">
            <v>2700908.23</v>
          </cell>
          <cell r="T44">
            <v>2912071.86</v>
          </cell>
          <cell r="U44">
            <v>3236004.83</v>
          </cell>
          <cell r="V44">
            <v>2505247.4400000004</v>
          </cell>
          <cell r="W44">
            <v>7362925.9999999991</v>
          </cell>
          <cell r="X44">
            <v>9962149.7799999993</v>
          </cell>
          <cell r="Y44">
            <v>8332498.6699999999</v>
          </cell>
          <cell r="Z44">
            <v>67159.56</v>
          </cell>
          <cell r="AA44">
            <v>9050466.540000001</v>
          </cell>
          <cell r="AB44">
            <v>3845841.9400000009</v>
          </cell>
          <cell r="AC44">
            <v>5728836.5099999998</v>
          </cell>
          <cell r="AD44">
            <v>1791548.3699999999</v>
          </cell>
          <cell r="AE44">
            <v>1087912.3599999999</v>
          </cell>
          <cell r="AF44">
            <v>4960910.6100000003</v>
          </cell>
          <cell r="AG44">
            <v>6407725.3199999994</v>
          </cell>
          <cell r="AH44">
            <v>1941651.17</v>
          </cell>
          <cell r="AI44">
            <v>12496361.060000001</v>
          </cell>
          <cell r="AJ44">
            <v>2203259.2399999998</v>
          </cell>
          <cell r="AK44">
            <v>2874576.33</v>
          </cell>
          <cell r="AL44">
            <v>152806414.20000002</v>
          </cell>
          <cell r="AN44">
            <v>27723913.529999997</v>
          </cell>
          <cell r="AO44">
            <v>1747932.9</v>
          </cell>
          <cell r="AR44">
            <v>3757212.6899999995</v>
          </cell>
          <cell r="AS44">
            <v>1149379.5</v>
          </cell>
        </row>
        <row r="45">
          <cell r="D45">
            <v>3261912.7300000004</v>
          </cell>
          <cell r="E45">
            <v>0</v>
          </cell>
          <cell r="F45">
            <v>5355344.71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55189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2630547.39</v>
          </cell>
          <cell r="T45">
            <v>0</v>
          </cell>
          <cell r="U45">
            <v>264570.17000000004</v>
          </cell>
          <cell r="V45">
            <v>569745.12</v>
          </cell>
          <cell r="W45">
            <v>0</v>
          </cell>
          <cell r="X45">
            <v>0</v>
          </cell>
          <cell r="Y45">
            <v>1924451.2599999998</v>
          </cell>
          <cell r="Z45">
            <v>433312.93999999994</v>
          </cell>
          <cell r="AA45">
            <v>9895893.0800000001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2950774.17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27341740.57</v>
          </cell>
          <cell r="AN45">
            <v>9266694.9299999997</v>
          </cell>
          <cell r="AO45">
            <v>0</v>
          </cell>
          <cell r="AR45">
            <v>0</v>
          </cell>
          <cell r="AS45">
            <v>0</v>
          </cell>
        </row>
        <row r="46">
          <cell r="D46">
            <v>450576.63000000006</v>
          </cell>
          <cell r="E46">
            <v>0</v>
          </cell>
          <cell r="F46">
            <v>1275236.01</v>
          </cell>
          <cell r="G46">
            <v>1951506.5599999998</v>
          </cell>
          <cell r="H46">
            <v>145444.38</v>
          </cell>
          <cell r="I46">
            <v>115553.38</v>
          </cell>
          <cell r="J46">
            <v>112350</v>
          </cell>
          <cell r="K46">
            <v>960089.28</v>
          </cell>
          <cell r="L46">
            <v>31731.89</v>
          </cell>
          <cell r="M46">
            <v>-12137.739999999998</v>
          </cell>
          <cell r="N46">
            <v>40970.51</v>
          </cell>
          <cell r="O46">
            <v>0</v>
          </cell>
          <cell r="P46">
            <v>625215.97</v>
          </cell>
          <cell r="Q46">
            <v>0</v>
          </cell>
          <cell r="R46">
            <v>181417.85</v>
          </cell>
          <cell r="S46">
            <v>415165.85</v>
          </cell>
          <cell r="T46">
            <v>0</v>
          </cell>
          <cell r="U46">
            <v>0</v>
          </cell>
          <cell r="V46">
            <v>331422.00999999995</v>
          </cell>
          <cell r="W46">
            <v>190655.69</v>
          </cell>
          <cell r="X46">
            <v>14687.04</v>
          </cell>
          <cell r="Y46">
            <v>66808.73</v>
          </cell>
          <cell r="Z46">
            <v>130.88</v>
          </cell>
          <cell r="AA46">
            <v>0</v>
          </cell>
          <cell r="AB46">
            <v>0</v>
          </cell>
          <cell r="AC46">
            <v>-65533.13</v>
          </cell>
          <cell r="AD46">
            <v>1138.79</v>
          </cell>
          <cell r="AE46">
            <v>3167.18</v>
          </cell>
          <cell r="AF46">
            <v>0</v>
          </cell>
          <cell r="AG46">
            <v>2676.47</v>
          </cell>
          <cell r="AH46">
            <v>-8167.590000000002</v>
          </cell>
          <cell r="AI46">
            <v>14848.7</v>
          </cell>
          <cell r="AJ46">
            <v>10000</v>
          </cell>
          <cell r="AK46">
            <v>27007</v>
          </cell>
          <cell r="AL46">
            <v>6881962.3399999989</v>
          </cell>
          <cell r="AN46">
            <v>2271894.09</v>
          </cell>
          <cell r="AO46">
            <v>37883.31</v>
          </cell>
          <cell r="AR46">
            <v>0</v>
          </cell>
          <cell r="AS46">
            <v>4046.55</v>
          </cell>
        </row>
        <row r="49">
          <cell r="D49" t="str">
            <v>A101</v>
          </cell>
          <cell r="E49" t="str">
            <v>A104</v>
          </cell>
          <cell r="F49" t="str">
            <v>A126</v>
          </cell>
          <cell r="G49" t="str">
            <v>A112</v>
          </cell>
          <cell r="H49" t="str">
            <v>A106</v>
          </cell>
          <cell r="I49" t="str">
            <v>A108</v>
          </cell>
          <cell r="J49" t="str">
            <v>A118</v>
          </cell>
          <cell r="K49" t="str">
            <v>A107</v>
          </cell>
          <cell r="L49" t="str">
            <v>A113</v>
          </cell>
          <cell r="M49" t="str">
            <v>A114</v>
          </cell>
          <cell r="N49" t="str">
            <v>A115</v>
          </cell>
          <cell r="O49" t="str">
            <v>A120</v>
          </cell>
          <cell r="P49" t="str">
            <v>A127</v>
          </cell>
          <cell r="Q49" t="str">
            <v>A128</v>
          </cell>
          <cell r="R49" t="str">
            <v>A129</v>
          </cell>
          <cell r="S49" t="str">
            <v>A103</v>
          </cell>
          <cell r="T49" t="str">
            <v>A110</v>
          </cell>
          <cell r="U49" t="str">
            <v>A122</v>
          </cell>
          <cell r="V49" t="str">
            <v>A123</v>
          </cell>
          <cell r="W49" t="str">
            <v>A125</v>
          </cell>
          <cell r="X49" t="str">
            <v>A135</v>
          </cell>
          <cell r="Y49" t="str">
            <v>A131</v>
          </cell>
          <cell r="Z49" t="str">
            <v>A136</v>
          </cell>
          <cell r="AA49" t="str">
            <v>A133</v>
          </cell>
          <cell r="AB49" t="str">
            <v>A130</v>
          </cell>
          <cell r="AC49" t="str">
            <v>A134</v>
          </cell>
          <cell r="AD49" t="str">
            <v>A138</v>
          </cell>
          <cell r="AE49" t="str">
            <v>A132</v>
          </cell>
          <cell r="AF49" t="str">
            <v>A117</v>
          </cell>
          <cell r="AG49" t="str">
            <v>A109</v>
          </cell>
          <cell r="AH49" t="str">
            <v>A105</v>
          </cell>
          <cell r="AI49" t="str">
            <v>A119</v>
          </cell>
          <cell r="AJ49" t="str">
            <v>A139</v>
          </cell>
          <cell r="AK49" t="str">
            <v>A140</v>
          </cell>
          <cell r="AN49" t="str">
            <v>A121</v>
          </cell>
          <cell r="AO49" t="str">
            <v>A111</v>
          </cell>
          <cell r="AR49" t="str">
            <v>A10201</v>
          </cell>
          <cell r="AS49" t="str">
            <v>A10202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workbookViewId="0"/>
  </sheetViews>
  <sheetFormatPr baseColWidth="10" defaultColWidth="0" defaultRowHeight="15" zeroHeight="1" x14ac:dyDescent="0.25"/>
  <cols>
    <col min="1" max="1" width="2.7109375" customWidth="1"/>
    <col min="2" max="2" width="17.5703125" customWidth="1"/>
    <col min="3" max="3" width="12.5703125" customWidth="1"/>
    <col min="4" max="6" width="11.42578125" customWidth="1"/>
    <col min="7" max="12" width="0" hidden="1" customWidth="1"/>
    <col min="13" max="16384" width="11.42578125" hidden="1"/>
  </cols>
  <sheetData>
    <row r="1" spans="2:12" x14ac:dyDescent="0.25"/>
    <row r="2" spans="2:12" ht="18.75" x14ac:dyDescent="0.3">
      <c r="B2" s="27" t="s">
        <v>105</v>
      </c>
    </row>
    <row r="3" spans="2:12" ht="18.75" x14ac:dyDescent="0.3">
      <c r="B3" s="27" t="s">
        <v>106</v>
      </c>
    </row>
    <row r="4" spans="2:12" x14ac:dyDescent="0.25"/>
    <row r="5" spans="2:12" ht="15.75" x14ac:dyDescent="0.25">
      <c r="B5" s="26" t="s">
        <v>107</v>
      </c>
      <c r="C5" s="67">
        <v>2022</v>
      </c>
    </row>
    <row r="6" spans="2:12" x14ac:dyDescent="0.25"/>
    <row r="7" spans="2:12" ht="15.75" x14ac:dyDescent="0.25">
      <c r="B7" s="26" t="s">
        <v>109</v>
      </c>
      <c r="C7" s="67">
        <f>CY-1</f>
        <v>2021</v>
      </c>
    </row>
    <row r="8" spans="2:12" x14ac:dyDescent="0.25"/>
    <row r="9" spans="2:12" ht="15.75" x14ac:dyDescent="0.25">
      <c r="B9" s="26" t="s">
        <v>108</v>
      </c>
      <c r="C9" s="67" t="s">
        <v>317</v>
      </c>
      <c r="G9" s="30">
        <f>VLOOKUP(QUARTER,$C$16:$F$19,3,FALSE)</f>
        <v>44651</v>
      </c>
      <c r="H9" s="31" t="str">
        <f>VLOOKUP(QUARTER,$C$16:$F$19,4,FALSE)</f>
        <v>3M22</v>
      </c>
      <c r="I9" s="31" t="str">
        <f>VLOOKUP(QUARTER,$C$16:$H$19,6,FALSE)</f>
        <v>1T22</v>
      </c>
    </row>
    <row r="10" spans="2:12" x14ac:dyDescent="0.25"/>
    <row r="11" spans="2:12" ht="15.75" x14ac:dyDescent="0.25">
      <c r="B11" s="26" t="s">
        <v>291</v>
      </c>
      <c r="C11" s="67" t="str">
        <f>VLOOKUP(QUARTER,$C$16:$I$19,7,FALSE)</f>
        <v>1Q 2021</v>
      </c>
      <c r="G11" s="30">
        <f>VLOOKUP(PY_QUARTER,$I$16:$L$19,2,FALSE)</f>
        <v>44286</v>
      </c>
      <c r="H11" s="31" t="str">
        <f>VLOOKUP(PY_QUARTER,$I$16:$L$19,3,FALSE)</f>
        <v>3M21</v>
      </c>
      <c r="I11" s="31" t="str">
        <f>VLOOKUP(PY_QUARTER,$I$16:$L$19,4,FALSE)</f>
        <v>1T21</v>
      </c>
    </row>
    <row r="12" spans="2:12" x14ac:dyDescent="0.25"/>
    <row r="13" spans="2:12" x14ac:dyDescent="0.25"/>
    <row r="14" spans="2:12" x14ac:dyDescent="0.25"/>
    <row r="15" spans="2:12" ht="195" hidden="1" x14ac:dyDescent="0.25">
      <c r="C15" s="60" t="s">
        <v>118</v>
      </c>
      <c r="D15" s="60" t="s">
        <v>119</v>
      </c>
      <c r="E15" s="60" t="s">
        <v>120</v>
      </c>
      <c r="F15" s="60" t="s">
        <v>121</v>
      </c>
      <c r="G15" s="61"/>
      <c r="H15" s="61"/>
      <c r="I15" s="60" t="s">
        <v>290</v>
      </c>
      <c r="J15" s="60" t="s">
        <v>292</v>
      </c>
      <c r="K15" s="60" t="s">
        <v>293</v>
      </c>
    </row>
    <row r="16" spans="2:12" hidden="1" x14ac:dyDescent="0.25">
      <c r="B16" s="25" t="s">
        <v>114</v>
      </c>
      <c r="C16" s="7" t="str">
        <f>CONCATENATE($B16," ",CY)</f>
        <v>1Q 2022</v>
      </c>
      <c r="D16" s="7">
        <v>3</v>
      </c>
      <c r="E16" s="29">
        <f>EOMONTH(DATE(CY,D16,1),0)</f>
        <v>44651</v>
      </c>
      <c r="F16" s="7" t="str">
        <f>CONCATENATE(D16,"M",TEXT(E16,"aa"))</f>
        <v>3M22</v>
      </c>
      <c r="G16" s="25" t="s">
        <v>110</v>
      </c>
      <c r="H16" s="7" t="str">
        <f>CONCATENATE(G16,TEXT(E16,"aa"))</f>
        <v>1T22</v>
      </c>
      <c r="I16" s="7" t="str">
        <f>CONCATENATE($B16," ",PY)</f>
        <v>1Q 2021</v>
      </c>
      <c r="J16" s="29">
        <f>EOMONTH(DATE(PY,D16,1),0)</f>
        <v>44286</v>
      </c>
      <c r="K16" s="7" t="str">
        <f>CONCATENATE(D16,"M",TEXT(J16,"aa"))</f>
        <v>3M21</v>
      </c>
      <c r="L16" s="7" t="str">
        <f>CONCATENATE(G16,TEXT(J16,"aa"))</f>
        <v>1T21</v>
      </c>
    </row>
    <row r="17" spans="2:12" hidden="1" x14ac:dyDescent="0.25">
      <c r="B17" s="25" t="s">
        <v>115</v>
      </c>
      <c r="C17" s="7" t="str">
        <f>CONCATENATE($B17," ",CY)</f>
        <v>2Q 2022</v>
      </c>
      <c r="D17" s="7">
        <v>6</v>
      </c>
      <c r="E17" s="29">
        <f>EOMONTH(DATE(CY,D17,1),0)</f>
        <v>44742</v>
      </c>
      <c r="F17" s="7" t="str">
        <f>CONCATENATE(D17,"M",TEXT(E17,"aa"))</f>
        <v>6M22</v>
      </c>
      <c r="G17" s="25" t="s">
        <v>111</v>
      </c>
      <c r="H17" s="7" t="str">
        <f>CONCATENATE(G17,TEXT(E17,"aa"))</f>
        <v>2T22</v>
      </c>
      <c r="I17" s="7" t="str">
        <f>CONCATENATE($B17," ",PY)</f>
        <v>2Q 2021</v>
      </c>
      <c r="J17" s="29">
        <f>EOMONTH(DATE(PY,D17,1),0)</f>
        <v>44377</v>
      </c>
      <c r="K17" s="7" t="str">
        <f>CONCATENATE(D17,"M",TEXT(J17,"aa"))</f>
        <v>6M21</v>
      </c>
      <c r="L17" s="7" t="str">
        <f>CONCATENATE(G17,TEXT(J17,"aa"))</f>
        <v>2T21</v>
      </c>
    </row>
    <row r="18" spans="2:12" hidden="1" x14ac:dyDescent="0.25">
      <c r="B18" s="25" t="s">
        <v>116</v>
      </c>
      <c r="C18" s="7" t="str">
        <f>CONCATENATE($B18," ",CY)</f>
        <v>3Q 2022</v>
      </c>
      <c r="D18" s="7">
        <v>9</v>
      </c>
      <c r="E18" s="29">
        <f>EOMONTH(DATE(CY,D18,1),0)</f>
        <v>44834</v>
      </c>
      <c r="F18" s="7" t="str">
        <f>CONCATENATE(D18,"M",TEXT(E18,"aa"))</f>
        <v>9M22</v>
      </c>
      <c r="G18" s="25" t="s">
        <v>112</v>
      </c>
      <c r="H18" s="7" t="str">
        <f>CONCATENATE(G18,TEXT(E18,"aa"))</f>
        <v>3T22</v>
      </c>
      <c r="I18" s="7" t="str">
        <f>CONCATENATE($B18," ",PY)</f>
        <v>3Q 2021</v>
      </c>
      <c r="J18" s="29">
        <f>EOMONTH(DATE(PY,D18,1),0)</f>
        <v>44469</v>
      </c>
      <c r="K18" s="7" t="str">
        <f>CONCATENATE(D18,"M",TEXT(J18,"aa"))</f>
        <v>9M21</v>
      </c>
      <c r="L18" s="7" t="str">
        <f>CONCATENATE(G18,TEXT(J18,"aa"))</f>
        <v>3T21</v>
      </c>
    </row>
    <row r="19" spans="2:12" hidden="1" x14ac:dyDescent="0.25">
      <c r="B19" s="25" t="s">
        <v>117</v>
      </c>
      <c r="C19" s="7" t="str">
        <f>CONCATENATE($B19," ",CY)</f>
        <v>4Q 2022</v>
      </c>
      <c r="D19" s="7">
        <v>12</v>
      </c>
      <c r="E19" s="29">
        <f>EOMONTH(DATE(CY,D19,1),0)</f>
        <v>44926</v>
      </c>
      <c r="F19" s="7">
        <f>CY</f>
        <v>2022</v>
      </c>
      <c r="G19" s="25" t="s">
        <v>113</v>
      </c>
      <c r="H19" s="7" t="str">
        <f>CONCATENATE(G19,TEXT(E19,"aa"))</f>
        <v>4T22</v>
      </c>
      <c r="I19" s="7" t="str">
        <f>CONCATENATE($B19," ",PY)</f>
        <v>4Q 2021</v>
      </c>
      <c r="J19" s="29">
        <f>EOMONTH(DATE(PY,D19,1),0)</f>
        <v>44561</v>
      </c>
      <c r="K19" s="7">
        <f>PY</f>
        <v>2021</v>
      </c>
      <c r="L19" s="7" t="str">
        <f>CONCATENATE(G19,TEXT(J19,"aa"))</f>
        <v>4T21</v>
      </c>
    </row>
  </sheetData>
  <dataValidations count="1">
    <dataValidation type="list" allowBlank="1" showInputMessage="1" showErrorMessage="1" sqref="C9" xr:uid="{00000000-0002-0000-0000-000000000000}">
      <formula1>$C$16:$C$19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5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11.42578125" defaultRowHeight="15" x14ac:dyDescent="0.25"/>
  <cols>
    <col min="1" max="1" width="2.7109375" customWidth="1"/>
    <col min="2" max="2" width="11.42578125" customWidth="1"/>
    <col min="3" max="3" width="22.85546875" customWidth="1"/>
    <col min="4" max="7" width="11.42578125" customWidth="1"/>
    <col min="8" max="8" width="12.7109375" customWidth="1"/>
    <col min="9" max="9" width="14.7109375" customWidth="1"/>
    <col min="10" max="10" width="12.7109375" hidden="1" customWidth="1"/>
    <col min="11" max="11" width="12.7109375" customWidth="1"/>
    <col min="12" max="15" width="11.42578125" customWidth="1"/>
    <col min="16" max="16" width="17.28515625" customWidth="1"/>
    <col min="17" max="17" width="11.42578125" customWidth="1"/>
  </cols>
  <sheetData>
    <row r="1" spans="2:15" ht="18.75" x14ac:dyDescent="0.3">
      <c r="B1" s="27" t="s">
        <v>105</v>
      </c>
    </row>
    <row r="2" spans="2:15" ht="18.75" x14ac:dyDescent="0.3">
      <c r="B2" s="27" t="s">
        <v>106</v>
      </c>
    </row>
    <row r="3" spans="2:15" ht="18.75" x14ac:dyDescent="0.3">
      <c r="B3" s="27" t="str">
        <f>QUARTER</f>
        <v>1Q 2022</v>
      </c>
    </row>
    <row r="4" spans="2:15" ht="15.75" thickBot="1" x14ac:dyDescent="0.3">
      <c r="C4" s="1"/>
      <c r="D4" s="2"/>
      <c r="E4" s="3"/>
      <c r="F4" s="3"/>
      <c r="G4" s="2"/>
      <c r="H4" s="59" t="str">
        <f>QUARTER</f>
        <v>1Q 2022</v>
      </c>
      <c r="I4" s="4"/>
      <c r="J4" s="59" t="str">
        <f>Control!$H$9</f>
        <v>3M22</v>
      </c>
      <c r="K4" s="59" t="str">
        <f>J4</f>
        <v>3M22</v>
      </c>
    </row>
    <row r="5" spans="2:15" ht="32.25" thickBot="1" x14ac:dyDescent="0.3">
      <c r="B5" s="6" t="s">
        <v>7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tr">
        <f>CONCATENATE("Ingreso por arrendamiento ",Control!$I$9," (Ps.)")</f>
        <v>Ingreso por arrendamiento 1T22 (Ps.)</v>
      </c>
      <c r="I5" s="5" t="s">
        <v>5</v>
      </c>
      <c r="J5" s="5" t="str">
        <f>CONCATENATE("Ingreso por arrendamiento ",CHAR(10),Control!$H$9," (Ps.)")</f>
        <v>Ingreso por arrendamiento 
3M22 (Ps.)</v>
      </c>
      <c r="K5" s="5" t="str">
        <f>CONCATENATE("NOI ",CHAR(10),Control!$H$9," (Ps.)")</f>
        <v>NOI 
3M22 (Ps.)</v>
      </c>
    </row>
    <row r="6" spans="2:15" ht="15.75" thickBot="1" x14ac:dyDescent="0.3">
      <c r="B6" s="7" t="s">
        <v>8</v>
      </c>
      <c r="C6" s="8" t="s">
        <v>316</v>
      </c>
      <c r="D6" s="9" t="s">
        <v>10</v>
      </c>
      <c r="E6" s="10">
        <v>2006</v>
      </c>
      <c r="F6" s="10">
        <v>2010</v>
      </c>
      <c r="G6" s="11">
        <v>41974</v>
      </c>
      <c r="H6" s="63">
        <f>ROUND(INDEX('Ingresos Arrendamiento'!$AF$6:$AI$51,MATCH('Ingresos PR'!$B6,'Ingresos Arrendamiento'!$B$6:$B$51,0),MATCH('Ingresos PR'!$H$4,'Ingresos Arrendamiento'!$AF$5:$AI$5,0)),0)</f>
        <v>20350095</v>
      </c>
      <c r="I6" s="12">
        <f t="shared" ref="I6:I40" si="0">+H6/$H$41</f>
        <v>5.3365205700063374E-2</v>
      </c>
      <c r="J6" s="75">
        <f>ROUND(INDEX('Ingresos Arrendamiento'!$AL$6:$AO$51,MATCH('Ingresos PR'!$B6,'Ingresos Arrendamiento'!$B$6:$B$51,0),MATCH('Ingresos PR'!$J$4,'Ingresos Arrendamiento'!$AL$5:$AO$5,0)),0)</f>
        <v>20350095</v>
      </c>
      <c r="K6" s="63">
        <f>ROUND(INDEX(NOI!$AC$6:$AF$48,MATCH('Ingresos PR'!$B6,NOI!$B$6:$B$48,0),MATCH('Ingresos PR'!K$4,NOI!$AC$5:$AF$5,0)),0)</f>
        <v>10533895</v>
      </c>
      <c r="M6" s="78"/>
      <c r="N6" s="78"/>
      <c r="O6" s="78"/>
    </row>
    <row r="7" spans="2:15" ht="15.75" thickBot="1" x14ac:dyDescent="0.3">
      <c r="B7" s="7" t="s">
        <v>11</v>
      </c>
      <c r="C7" s="13" t="s">
        <v>12</v>
      </c>
      <c r="D7" s="14" t="s">
        <v>13</v>
      </c>
      <c r="E7" s="15">
        <v>2008</v>
      </c>
      <c r="F7" s="15">
        <v>2008</v>
      </c>
      <c r="G7" s="16">
        <v>41974</v>
      </c>
      <c r="H7" s="64">
        <f>ROUND(INDEX('Ingresos Arrendamiento'!$AF$6:$AI$51,MATCH('Ingresos PR'!$B7,'Ingresos Arrendamiento'!$B$6:$B$51,0),MATCH('Ingresos PR'!$H$4,'Ingresos Arrendamiento'!$AF$5:$AI$5,0)),0)</f>
        <v>27119946</v>
      </c>
      <c r="I7" s="17">
        <f t="shared" si="0"/>
        <v>7.1118169073147358E-2</v>
      </c>
      <c r="J7" s="76">
        <f>ROUND(INDEX('Ingresos Arrendamiento'!$AL$6:$AO$51,MATCH('Ingresos PR'!$B7,'Ingresos Arrendamiento'!$B$6:$B$51,0),MATCH('Ingresos PR'!$J$4,'Ingresos Arrendamiento'!$AL$5:$AO$5,0)),0)</f>
        <v>27119946</v>
      </c>
      <c r="K7" s="64">
        <f>ROUND(INDEX(NOI!$AC$6:$AF$48,MATCH('Ingresos PR'!$B7,NOI!$B$6:$B$48,0),MATCH('Ingresos PR'!K$4,NOI!$AC$5:$AF$5,0)),0)-1</f>
        <v>23019242</v>
      </c>
      <c r="L7" t="s">
        <v>307</v>
      </c>
      <c r="M7" s="78"/>
      <c r="N7" s="78"/>
      <c r="O7" s="78"/>
    </row>
    <row r="8" spans="2:15" ht="15.75" thickBot="1" x14ac:dyDescent="0.3">
      <c r="B8" s="7" t="s">
        <v>14</v>
      </c>
      <c r="C8" s="8" t="s">
        <v>15</v>
      </c>
      <c r="D8" s="9" t="s">
        <v>16</v>
      </c>
      <c r="E8" s="10">
        <v>2005</v>
      </c>
      <c r="F8" s="10">
        <v>2005</v>
      </c>
      <c r="G8" s="11">
        <v>41395</v>
      </c>
      <c r="H8" s="63">
        <f>ROUND(INDEX('Ingresos Arrendamiento'!$AF$6:$AI$51,MATCH('Ingresos PR'!$B8,'Ingresos Arrendamiento'!$B$6:$B$51,0),MATCH('Ingresos PR'!$H$4,'Ingresos Arrendamiento'!$AF$5:$AI$5,0)),0)</f>
        <v>23396194</v>
      </c>
      <c r="I8" s="12">
        <f t="shared" si="0"/>
        <v>6.1353163481968433E-2</v>
      </c>
      <c r="J8" s="75">
        <f>ROUND(INDEX('Ingresos Arrendamiento'!$AL$6:$AO$51,MATCH('Ingresos PR'!$B8,'Ingresos Arrendamiento'!$B$6:$B$51,0),MATCH('Ingresos PR'!$J$4,'Ingresos Arrendamiento'!$AL$5:$AO$5,0)),0)</f>
        <v>23396194</v>
      </c>
      <c r="K8" s="63">
        <f>ROUND(INDEX(NOI!$AC$6:$AF$48,MATCH('Ingresos PR'!$B8,NOI!$B$6:$B$48,0),MATCH('Ingresos PR'!K$4,NOI!$AC$5:$AF$5,0)),0)</f>
        <v>18759399</v>
      </c>
      <c r="M8" s="78"/>
      <c r="N8" s="78"/>
      <c r="O8" s="78"/>
    </row>
    <row r="9" spans="2:15" ht="15.75" thickBot="1" x14ac:dyDescent="0.3">
      <c r="B9" s="7" t="s">
        <v>17</v>
      </c>
      <c r="C9" s="13" t="s">
        <v>18</v>
      </c>
      <c r="D9" s="14" t="s">
        <v>19</v>
      </c>
      <c r="E9" s="15">
        <v>2005</v>
      </c>
      <c r="F9" s="15">
        <v>2006</v>
      </c>
      <c r="G9" s="16">
        <v>41214</v>
      </c>
      <c r="H9" s="64">
        <f>ROUND(INDEX('Ingresos Arrendamiento'!$AF$6:$AI$51,MATCH('Ingresos PR'!$B9,'Ingresos Arrendamiento'!$B$6:$B$51,0),MATCH('Ingresos PR'!$H$4,'Ingresos Arrendamiento'!$AF$5:$AI$5,0)),0)</f>
        <v>19731004</v>
      </c>
      <c r="I9" s="17">
        <f t="shared" si="0"/>
        <v>5.1741728337325855E-2</v>
      </c>
      <c r="J9" s="76">
        <f>ROUND(INDEX('Ingresos Arrendamiento'!$AL$6:$AO$51,MATCH('Ingresos PR'!$B9,'Ingresos Arrendamiento'!$B$6:$B$51,0),MATCH('Ingresos PR'!$J$4,'Ingresos Arrendamiento'!$AL$5:$AO$5,0)),0)</f>
        <v>19731004</v>
      </c>
      <c r="K9" s="64">
        <f>ROUND(INDEX(NOI!$AC$6:$AF$48,MATCH('Ingresos PR'!$B9,NOI!$B$6:$B$48,0),MATCH('Ingresos PR'!K$4,NOI!$AC$5:$AF$5,0)),0)</f>
        <v>14533695</v>
      </c>
      <c r="M9" s="78"/>
      <c r="N9" s="78"/>
      <c r="O9" s="78"/>
    </row>
    <row r="10" spans="2:15" ht="15.75" thickBot="1" x14ac:dyDescent="0.3">
      <c r="B10" s="7" t="s">
        <v>20</v>
      </c>
      <c r="C10" s="8" t="s">
        <v>21</v>
      </c>
      <c r="D10" s="9" t="s">
        <v>22</v>
      </c>
      <c r="E10" s="10">
        <v>2008</v>
      </c>
      <c r="F10" s="10">
        <v>2009</v>
      </c>
      <c r="G10" s="11">
        <v>41395</v>
      </c>
      <c r="H10" s="63">
        <f>ROUND(INDEX('Ingresos Arrendamiento'!$AF$6:$AI$51,MATCH('Ingresos PR'!$B10,'Ingresos Arrendamiento'!$B$6:$B$51,0),MATCH('Ingresos PR'!$H$4,'Ingresos Arrendamiento'!$AF$5:$AI$5,0)),0)</f>
        <v>7392216</v>
      </c>
      <c r="I10" s="12">
        <f t="shared" si="0"/>
        <v>1.9385026331292295E-2</v>
      </c>
      <c r="J10" s="75">
        <f>ROUND(INDEX('Ingresos Arrendamiento'!$AL$6:$AO$51,MATCH('Ingresos PR'!$B10,'Ingresos Arrendamiento'!$B$6:$B$51,0),MATCH('Ingresos PR'!$J$4,'Ingresos Arrendamiento'!$AL$5:$AO$5,0)),0)</f>
        <v>7392216</v>
      </c>
      <c r="K10" s="63">
        <f>ROUND(INDEX(NOI!$AC$6:$AF$48,MATCH('Ingresos PR'!$B10,NOI!$B$6:$B$48,0),MATCH('Ingresos PR'!K$4,NOI!$AC$5:$AF$5,0)),0)</f>
        <v>3631532</v>
      </c>
      <c r="M10" s="78"/>
      <c r="N10" s="78"/>
      <c r="O10" s="78"/>
    </row>
    <row r="11" spans="2:15" ht="15.75" thickBot="1" x14ac:dyDescent="0.3">
      <c r="B11" s="7" t="s">
        <v>23</v>
      </c>
      <c r="C11" s="13" t="s">
        <v>24</v>
      </c>
      <c r="D11" s="14" t="s">
        <v>25</v>
      </c>
      <c r="E11" s="15">
        <v>2006</v>
      </c>
      <c r="F11" s="15">
        <v>2006</v>
      </c>
      <c r="G11" s="16">
        <v>41548</v>
      </c>
      <c r="H11" s="64">
        <f>ROUND(INDEX('Ingresos Arrendamiento'!$AF$6:$AI$51,MATCH('Ingresos PR'!$B11,'Ingresos Arrendamiento'!$B$6:$B$51,0),MATCH('Ingresos PR'!$H$4,'Ingresos Arrendamiento'!$AF$5:$AI$5,0)),0)</f>
        <v>17853419</v>
      </c>
      <c r="I11" s="17">
        <f t="shared" si="0"/>
        <v>4.6818030942087481E-2</v>
      </c>
      <c r="J11" s="76">
        <f>ROUND(INDEX('Ingresos Arrendamiento'!$AL$6:$AO$51,MATCH('Ingresos PR'!$B11,'Ingresos Arrendamiento'!$B$6:$B$51,0),MATCH('Ingresos PR'!$J$4,'Ingresos Arrendamiento'!$AL$5:$AO$5,0)),0)</f>
        <v>17853419</v>
      </c>
      <c r="K11" s="64">
        <f>ROUND(INDEX(NOI!$AC$6:$AF$48,MATCH('Ingresos PR'!$B11,NOI!$B$6:$B$48,0),MATCH('Ingresos PR'!K$4,NOI!$AC$5:$AF$5,0)),0)</f>
        <v>14677930</v>
      </c>
      <c r="M11" s="78"/>
      <c r="N11" s="78"/>
      <c r="O11" s="78"/>
    </row>
    <row r="12" spans="2:15" ht="15.75" thickBot="1" x14ac:dyDescent="0.3">
      <c r="B12" s="7" t="s">
        <v>26</v>
      </c>
      <c r="C12" s="8" t="s">
        <v>27</v>
      </c>
      <c r="D12" s="9" t="s">
        <v>28</v>
      </c>
      <c r="E12" s="10">
        <v>2004</v>
      </c>
      <c r="F12" s="10">
        <v>2006</v>
      </c>
      <c r="G12" s="11">
        <v>41548</v>
      </c>
      <c r="H12" s="63">
        <f>ROUND(INDEX('Ingresos Arrendamiento'!$AF$6:$AI$51,MATCH('Ingresos PR'!$B12,'Ingresos Arrendamiento'!$B$6:$B$51,0),MATCH('Ingresos PR'!$H$4,'Ingresos Arrendamiento'!$AF$5:$AI$5,0)),0)</f>
        <v>20331560</v>
      </c>
      <c r="I12" s="12">
        <f t="shared" si="0"/>
        <v>5.331660032069533E-2</v>
      </c>
      <c r="J12" s="75">
        <f>ROUND(INDEX('Ingresos Arrendamiento'!$AL$6:$AO$51,MATCH('Ingresos PR'!$B12,'Ingresos Arrendamiento'!$B$6:$B$51,0),MATCH('Ingresos PR'!$J$4,'Ingresos Arrendamiento'!$AL$5:$AO$5,0)),0)</f>
        <v>20331560</v>
      </c>
      <c r="K12" s="63">
        <f>ROUND(INDEX(NOI!$AC$6:$AF$48,MATCH('Ingresos PR'!$B12,NOI!$B$6:$B$48,0),MATCH('Ingresos PR'!K$4,NOI!$AC$5:$AF$5,0)),0)</f>
        <v>15696460</v>
      </c>
      <c r="M12" s="78"/>
      <c r="N12" s="78"/>
      <c r="O12" s="78"/>
    </row>
    <row r="13" spans="2:15" ht="15.75" thickBot="1" x14ac:dyDescent="0.3">
      <c r="B13" s="7" t="s">
        <v>29</v>
      </c>
      <c r="C13" s="13" t="s">
        <v>30</v>
      </c>
      <c r="D13" s="14" t="s">
        <v>19</v>
      </c>
      <c r="E13" s="15">
        <v>2002</v>
      </c>
      <c r="F13" s="15">
        <v>2003</v>
      </c>
      <c r="G13" s="16">
        <v>41395</v>
      </c>
      <c r="H13" s="64">
        <f>ROUND(INDEX('Ingresos Arrendamiento'!$AF$6:$AI$51,MATCH('Ingresos PR'!$B13,'Ingresos Arrendamiento'!$B$6:$B$51,0),MATCH('Ingresos PR'!$H$4,'Ingresos Arrendamiento'!$AF$5:$AI$5,0)),0)</f>
        <v>19081175</v>
      </c>
      <c r="I13" s="17">
        <f t="shared" si="0"/>
        <v>5.0037644977770704E-2</v>
      </c>
      <c r="J13" s="76">
        <f>ROUND(INDEX('Ingresos Arrendamiento'!$AL$6:$AO$51,MATCH('Ingresos PR'!$B13,'Ingresos Arrendamiento'!$B$6:$B$51,0),MATCH('Ingresos PR'!$J$4,'Ingresos Arrendamiento'!$AL$5:$AO$5,0)),0)</f>
        <v>19081175</v>
      </c>
      <c r="K13" s="64">
        <f>ROUND(INDEX(NOI!$AC$6:$AF$48,MATCH('Ingresos PR'!$B13,NOI!$B$6:$B$48,0),MATCH('Ingresos PR'!K$4,NOI!$AC$5:$AF$5,0)),0)</f>
        <v>16207132</v>
      </c>
      <c r="M13" s="78"/>
      <c r="N13" s="78"/>
      <c r="O13" s="78"/>
    </row>
    <row r="14" spans="2:15" ht="15.75" thickBot="1" x14ac:dyDescent="0.3">
      <c r="B14" s="7" t="s">
        <v>31</v>
      </c>
      <c r="C14" s="8" t="s">
        <v>32</v>
      </c>
      <c r="D14" s="9" t="s">
        <v>16</v>
      </c>
      <c r="E14" s="10">
        <v>2007</v>
      </c>
      <c r="F14" s="10">
        <v>2008</v>
      </c>
      <c r="G14" s="11">
        <v>41974</v>
      </c>
      <c r="H14" s="63">
        <f>ROUND(INDEX('Ingresos Arrendamiento'!$AF$6:$AI$51,MATCH('Ingresos PR'!$B14,'Ingresos Arrendamiento'!$B$6:$B$51,0),MATCH('Ingresos PR'!$H$4,'Ingresos Arrendamiento'!$AF$5:$AI$5,0)),0)</f>
        <v>19750676</v>
      </c>
      <c r="I14" s="12">
        <f t="shared" si="0"/>
        <v>5.1793315336135029E-2</v>
      </c>
      <c r="J14" s="75">
        <f>ROUND(INDEX('Ingresos Arrendamiento'!$AL$6:$AO$51,MATCH('Ingresos PR'!$B14,'Ingresos Arrendamiento'!$B$6:$B$51,0),MATCH('Ingresos PR'!$J$4,'Ingresos Arrendamiento'!$AL$5:$AO$5,0)),0)</f>
        <v>19750676</v>
      </c>
      <c r="K14" s="63">
        <f>ROUND(INDEX(NOI!$AC$6:$AF$48,MATCH('Ingresos PR'!$B14,NOI!$B$6:$B$48,0),MATCH('Ingresos PR'!K$4,NOI!$AC$5:$AF$5,0)),0)</f>
        <v>14390989</v>
      </c>
      <c r="M14" s="78"/>
      <c r="N14" s="78"/>
      <c r="O14" s="78"/>
    </row>
    <row r="15" spans="2:15" ht="15.75" thickBot="1" x14ac:dyDescent="0.3">
      <c r="B15" s="7" t="s">
        <v>33</v>
      </c>
      <c r="C15" s="13" t="s">
        <v>34</v>
      </c>
      <c r="D15" s="14" t="s">
        <v>25</v>
      </c>
      <c r="E15" s="15">
        <v>1999</v>
      </c>
      <c r="F15" s="15">
        <v>2000</v>
      </c>
      <c r="G15" s="16">
        <v>41395</v>
      </c>
      <c r="H15" s="64">
        <f>ROUND(INDEX('Ingresos Arrendamiento'!$AF$6:$AI$51,MATCH('Ingresos PR'!$B15,'Ingresos Arrendamiento'!$B$6:$B$51,0),MATCH('Ingresos PR'!$H$4,'Ingresos Arrendamiento'!$AF$5:$AI$5,0)),0)</f>
        <v>12244547</v>
      </c>
      <c r="I15" s="17">
        <f t="shared" si="0"/>
        <v>3.2109568498775748E-2</v>
      </c>
      <c r="J15" s="76">
        <f>ROUND(INDEX('Ingresos Arrendamiento'!$AL$6:$AO$51,MATCH('Ingresos PR'!$B15,'Ingresos Arrendamiento'!$B$6:$B$51,0),MATCH('Ingresos PR'!$J$4,'Ingresos Arrendamiento'!$AL$5:$AO$5,0)),0)</f>
        <v>12244547</v>
      </c>
      <c r="K15" s="64">
        <f>ROUND(INDEX(NOI!$AC$6:$AF$48,MATCH('Ingresos PR'!$B15,NOI!$B$6:$B$48,0),MATCH('Ingresos PR'!K$4,NOI!$AC$5:$AF$5,0)),0)</f>
        <v>10015084</v>
      </c>
      <c r="M15" s="78"/>
      <c r="N15" s="78"/>
      <c r="O15" s="78"/>
    </row>
    <row r="16" spans="2:15" ht="15.75" thickBot="1" x14ac:dyDescent="0.3">
      <c r="B16" s="7" t="s">
        <v>35</v>
      </c>
      <c r="C16" s="8" t="s">
        <v>36</v>
      </c>
      <c r="D16" s="9" t="s">
        <v>19</v>
      </c>
      <c r="E16" s="10">
        <v>2006</v>
      </c>
      <c r="F16" s="10">
        <v>2007</v>
      </c>
      <c r="G16" s="11">
        <v>41395</v>
      </c>
      <c r="H16" s="63">
        <f>ROUND(INDEX('Ingresos Arrendamiento'!$AF$6:$AI$51,MATCH('Ingresos PR'!$B16,'Ingresos Arrendamiento'!$B$6:$B$51,0),MATCH('Ingresos PR'!$H$4,'Ingresos Arrendamiento'!$AF$5:$AI$5,0)),0)</f>
        <v>10719648</v>
      </c>
      <c r="I16" s="12">
        <f t="shared" si="0"/>
        <v>2.8110739559312765E-2</v>
      </c>
      <c r="J16" s="75">
        <f>ROUND(INDEX('Ingresos Arrendamiento'!$AL$6:$AO$51,MATCH('Ingresos PR'!$B16,'Ingresos Arrendamiento'!$B$6:$B$51,0),MATCH('Ingresos PR'!$J$4,'Ingresos Arrendamiento'!$AL$5:$AO$5,0)),0)</f>
        <v>10719648</v>
      </c>
      <c r="K16" s="63">
        <f>ROUND(INDEX(NOI!$AC$6:$AF$48,MATCH('Ingresos PR'!$B16,NOI!$B$6:$B$48,0),MATCH('Ingresos PR'!K$4,NOI!$AC$5:$AF$5,0)),0)</f>
        <v>7367175</v>
      </c>
      <c r="M16" s="78"/>
      <c r="N16" s="78"/>
      <c r="O16" s="78"/>
    </row>
    <row r="17" spans="2:15" ht="15.75" thickBot="1" x14ac:dyDescent="0.3">
      <c r="B17" s="7" t="s">
        <v>37</v>
      </c>
      <c r="C17" s="13" t="s">
        <v>38</v>
      </c>
      <c r="D17" s="14" t="s">
        <v>39</v>
      </c>
      <c r="E17" s="15">
        <v>2008</v>
      </c>
      <c r="F17" s="15">
        <v>2008</v>
      </c>
      <c r="G17" s="16">
        <v>41974</v>
      </c>
      <c r="H17" s="64">
        <f>ROUND(INDEX('Ingresos Arrendamiento'!$AF$6:$AI$51,MATCH('Ingresos PR'!$B17,'Ingresos Arrendamiento'!$B$6:$B$51,0),MATCH('Ingresos PR'!$H$4,'Ingresos Arrendamiento'!$AF$5:$AI$5,0)),0)</f>
        <v>14651253</v>
      </c>
      <c r="I17" s="17">
        <f t="shared" si="0"/>
        <v>3.8420809834483358E-2</v>
      </c>
      <c r="J17" s="76">
        <f>ROUND(INDEX('Ingresos Arrendamiento'!$AL$6:$AO$51,MATCH('Ingresos PR'!$B17,'Ingresos Arrendamiento'!$B$6:$B$51,0),MATCH('Ingresos PR'!$J$4,'Ingresos Arrendamiento'!$AL$5:$AO$5,0)),0)</f>
        <v>14651253</v>
      </c>
      <c r="K17" s="64">
        <f>ROUND(INDEX(NOI!$AC$6:$AF$48,MATCH('Ingresos PR'!$B17,NOI!$B$6:$B$48,0),MATCH('Ingresos PR'!K$4,NOI!$AC$5:$AF$5,0)),0)</f>
        <v>12503477</v>
      </c>
      <c r="M17" s="78"/>
      <c r="N17" s="78"/>
      <c r="O17" s="78"/>
    </row>
    <row r="18" spans="2:15" ht="15.75" thickBot="1" x14ac:dyDescent="0.3">
      <c r="B18" s="7" t="s">
        <v>40</v>
      </c>
      <c r="C18" s="8" t="s">
        <v>41</v>
      </c>
      <c r="D18" s="9" t="s">
        <v>42</v>
      </c>
      <c r="E18" s="10">
        <v>2007</v>
      </c>
      <c r="F18" s="10">
        <v>2008</v>
      </c>
      <c r="G18" s="11">
        <v>41395</v>
      </c>
      <c r="H18" s="63">
        <f>ROUND(INDEX('Ingresos Arrendamiento'!$AF$6:$AI$51,MATCH('Ingresos PR'!$B18,'Ingresos Arrendamiento'!$B$6:$B$51,0),MATCH('Ingresos PR'!$H$4,'Ingresos Arrendamiento'!$AF$5:$AI$5,0)),0)</f>
        <v>12112951</v>
      </c>
      <c r="I18" s="12">
        <f t="shared" si="0"/>
        <v>3.1764476861154127E-2</v>
      </c>
      <c r="J18" s="75">
        <f>ROUND(INDEX('Ingresos Arrendamiento'!$AL$6:$AO$51,MATCH('Ingresos PR'!$B18,'Ingresos Arrendamiento'!$B$6:$B$51,0),MATCH('Ingresos PR'!$J$4,'Ingresos Arrendamiento'!$AL$5:$AO$5,0)),0)</f>
        <v>12112951</v>
      </c>
      <c r="K18" s="63">
        <f>ROUND(INDEX(NOI!$AC$6:$AF$48,MATCH('Ingresos PR'!$B18,NOI!$B$6:$B$48,0),MATCH('Ingresos PR'!K$4,NOI!$AC$5:$AF$5,0)),0)</f>
        <v>9964220</v>
      </c>
      <c r="M18" s="78"/>
      <c r="N18" s="78"/>
      <c r="O18" s="78"/>
    </row>
    <row r="19" spans="2:15" ht="15.75" thickBot="1" x14ac:dyDescent="0.3">
      <c r="B19" s="7" t="s">
        <v>43</v>
      </c>
      <c r="C19" s="13" t="s">
        <v>44</v>
      </c>
      <c r="D19" s="14" t="s">
        <v>45</v>
      </c>
      <c r="E19" s="15">
        <v>2005</v>
      </c>
      <c r="F19" s="15">
        <v>2006</v>
      </c>
      <c r="G19" s="16">
        <v>41548</v>
      </c>
      <c r="H19" s="64">
        <f>ROUND(INDEX('Ingresos Arrendamiento'!$AF$6:$AI$51,MATCH('Ingresos PR'!$B19,'Ingresos Arrendamiento'!$B$6:$B$51,0),MATCH('Ingresos PR'!$H$4,'Ingresos Arrendamiento'!$AF$5:$AI$5,0)),0)</f>
        <v>10021857</v>
      </c>
      <c r="I19" s="17">
        <f t="shared" si="0"/>
        <v>2.6280882733059476E-2</v>
      </c>
      <c r="J19" s="76">
        <f>ROUND(INDEX('Ingresos Arrendamiento'!$AL$6:$AO$51,MATCH('Ingresos PR'!$B19,'Ingresos Arrendamiento'!$B$6:$B$51,0),MATCH('Ingresos PR'!$J$4,'Ingresos Arrendamiento'!$AL$5:$AO$5,0)),0)</f>
        <v>10021857</v>
      </c>
      <c r="K19" s="64">
        <f>ROUND(INDEX(NOI!$AC$6:$AF$48,MATCH('Ingresos PR'!$B19,NOI!$B$6:$B$48,0),MATCH('Ingresos PR'!K$4,NOI!$AC$5:$AF$5,0)),0)</f>
        <v>6828241</v>
      </c>
      <c r="M19" s="78"/>
      <c r="N19" s="78"/>
      <c r="O19" s="78"/>
    </row>
    <row r="20" spans="2:15" ht="15.75" thickBot="1" x14ac:dyDescent="0.3">
      <c r="B20" s="7" t="s">
        <v>46</v>
      </c>
      <c r="C20" s="8" t="s">
        <v>47</v>
      </c>
      <c r="D20" s="9" t="s">
        <v>42</v>
      </c>
      <c r="E20" s="10">
        <v>1995</v>
      </c>
      <c r="F20" s="10">
        <v>1995</v>
      </c>
      <c r="G20" s="11">
        <v>41974</v>
      </c>
      <c r="H20" s="63">
        <f>ROUND(INDEX('Ingresos Arrendamiento'!$AF$6:$AI$51,MATCH('Ingresos PR'!$B20,'Ingresos Arrendamiento'!$B$6:$B$51,0),MATCH('Ingresos PR'!$H$4,'Ingresos Arrendamiento'!$AF$5:$AI$5,0)),0)</f>
        <v>8227746</v>
      </c>
      <c r="I20" s="12">
        <f t="shared" si="0"/>
        <v>2.1576083931690422E-2</v>
      </c>
      <c r="J20" s="75">
        <f>ROUND(INDEX('Ingresos Arrendamiento'!$AL$6:$AO$51,MATCH('Ingresos PR'!$B20,'Ingresos Arrendamiento'!$B$6:$B$51,0),MATCH('Ingresos PR'!$J$4,'Ingresos Arrendamiento'!$AL$5:$AO$5,0)),0)</f>
        <v>8227746</v>
      </c>
      <c r="K20" s="63">
        <f>ROUND(INDEX(NOI!$AC$6:$AF$48,MATCH('Ingresos PR'!$B20,NOI!$B$6:$B$48,0),MATCH('Ingresos PR'!K$4,NOI!$AC$5:$AF$5,0)),0)</f>
        <v>6704829</v>
      </c>
      <c r="M20" s="78"/>
      <c r="N20" s="78"/>
      <c r="O20" s="78"/>
    </row>
    <row r="21" spans="2:15" ht="23.25" thickBot="1" x14ac:dyDescent="0.3">
      <c r="B21" s="7" t="s">
        <v>48</v>
      </c>
      <c r="C21" s="13" t="s">
        <v>49</v>
      </c>
      <c r="D21" s="14" t="s">
        <v>50</v>
      </c>
      <c r="E21" s="15">
        <v>2005</v>
      </c>
      <c r="F21" s="15">
        <v>2006</v>
      </c>
      <c r="G21" s="16">
        <v>41395</v>
      </c>
      <c r="H21" s="64">
        <f>ROUND(INDEX('Ingresos Arrendamiento'!$AF$6:$AI$51,MATCH('Ingresos PR'!$B21,'Ingresos Arrendamiento'!$B$6:$B$51,0),MATCH('Ingresos PR'!$H$4,'Ingresos Arrendamiento'!$AF$5:$AI$5,0)),0)</f>
        <v>7973754</v>
      </c>
      <c r="I21" s="17">
        <f t="shared" si="0"/>
        <v>2.0910026337061478E-2</v>
      </c>
      <c r="J21" s="76">
        <f>ROUND(INDEX('Ingresos Arrendamiento'!$AL$6:$AO$51,MATCH('Ingresos PR'!$B21,'Ingresos Arrendamiento'!$B$6:$B$51,0),MATCH('Ingresos PR'!$J$4,'Ingresos Arrendamiento'!$AL$5:$AO$5,0)),0)</f>
        <v>7973754</v>
      </c>
      <c r="K21" s="64">
        <f>ROUND(INDEX(NOI!$AC$6:$AF$48,MATCH('Ingresos PR'!$B21,NOI!$B$6:$B$48,0),MATCH('Ingresos PR'!K$4,NOI!$AC$5:$AF$5,0)),0)</f>
        <v>4243038</v>
      </c>
      <c r="M21" s="78"/>
      <c r="N21" s="78"/>
      <c r="O21" s="78"/>
    </row>
    <row r="22" spans="2:15" ht="23.25" thickBot="1" x14ac:dyDescent="0.3">
      <c r="B22" s="7" t="s">
        <v>51</v>
      </c>
      <c r="C22" s="8" t="s">
        <v>52</v>
      </c>
      <c r="D22" s="9" t="s">
        <v>50</v>
      </c>
      <c r="E22" s="10">
        <v>2006</v>
      </c>
      <c r="F22" s="10">
        <v>2007</v>
      </c>
      <c r="G22" s="11">
        <v>41395</v>
      </c>
      <c r="H22" s="63">
        <f>ROUND(INDEX('Ingresos Arrendamiento'!$AF$6:$AI$51,MATCH('Ingresos PR'!$B22,'Ingresos Arrendamiento'!$B$6:$B$51,0),MATCH('Ingresos PR'!$H$4,'Ingresos Arrendamiento'!$AF$5:$AI$5,0)),0)</f>
        <v>6676358</v>
      </c>
      <c r="I22" s="12">
        <f t="shared" si="0"/>
        <v>1.7507791388554388E-2</v>
      </c>
      <c r="J22" s="75">
        <f>ROUND(INDEX('Ingresos Arrendamiento'!$AL$6:$AO$51,MATCH('Ingresos PR'!$B22,'Ingresos Arrendamiento'!$B$6:$B$51,0),MATCH('Ingresos PR'!$J$4,'Ingresos Arrendamiento'!$AL$5:$AO$5,0)),0)</f>
        <v>6676358</v>
      </c>
      <c r="K22" s="63">
        <f>ROUND(INDEX(NOI!$AC$6:$AF$48,MATCH('Ingresos PR'!$B22,NOI!$B$6:$B$48,0),MATCH('Ingresos PR'!K$4,NOI!$AC$5:$AF$5,0)),0)</f>
        <v>4268199</v>
      </c>
      <c r="M22" s="78"/>
      <c r="N22" s="78"/>
      <c r="O22" s="78"/>
    </row>
    <row r="23" spans="2:15" ht="15.75" thickBot="1" x14ac:dyDescent="0.3">
      <c r="B23" s="7" t="s">
        <v>53</v>
      </c>
      <c r="C23" s="13" t="s">
        <v>54</v>
      </c>
      <c r="D23" s="14" t="s">
        <v>55</v>
      </c>
      <c r="E23" s="15">
        <v>2013</v>
      </c>
      <c r="F23" s="15">
        <v>2014</v>
      </c>
      <c r="G23" s="16">
        <v>41334</v>
      </c>
      <c r="H23" s="64">
        <f>ROUND(INDEX('Ingresos Arrendamiento'!$AF$6:$AI$51,MATCH('Ingresos PR'!$B23,'Ingresos Arrendamiento'!$B$6:$B$51,0),MATCH('Ingresos PR'!$H$4,'Ingresos Arrendamiento'!$AF$5:$AI$5,0)),0)</f>
        <v>18493320</v>
      </c>
      <c r="I23" s="17">
        <f t="shared" si="0"/>
        <v>4.8496079545431899E-2</v>
      </c>
      <c r="J23" s="76">
        <f>ROUND(INDEX('Ingresos Arrendamiento'!$AL$6:$AO$51,MATCH('Ingresos PR'!$B23,'Ingresos Arrendamiento'!$B$6:$B$51,0),MATCH('Ingresos PR'!$J$4,'Ingresos Arrendamiento'!$AL$5:$AO$5,0)),0)</f>
        <v>18493320</v>
      </c>
      <c r="K23" s="64">
        <f>ROUND(INDEX(NOI!$AC$6:$AF$48,MATCH('Ingresos PR'!$B23,NOI!$B$6:$B$48,0),MATCH('Ingresos PR'!K$4,NOI!$AC$5:$AF$5,0)),0)</f>
        <v>15225733</v>
      </c>
      <c r="M23" s="78"/>
      <c r="N23" s="78"/>
      <c r="O23" s="78"/>
    </row>
    <row r="24" spans="2:15" ht="15.75" thickBot="1" x14ac:dyDescent="0.3">
      <c r="B24" s="7" t="s">
        <v>56</v>
      </c>
      <c r="C24" s="8" t="s">
        <v>57</v>
      </c>
      <c r="D24" s="9" t="s">
        <v>58</v>
      </c>
      <c r="E24" s="10">
        <v>2012</v>
      </c>
      <c r="F24" s="10">
        <v>2013</v>
      </c>
      <c r="G24" s="11">
        <v>41974</v>
      </c>
      <c r="H24" s="63">
        <f>ROUND(INDEX('Ingresos Arrendamiento'!$AF$6:$AI$51,MATCH('Ingresos PR'!$B24,'Ingresos Arrendamiento'!$B$6:$B$51,0),MATCH('Ingresos PR'!$H$4,'Ingresos Arrendamiento'!$AF$5:$AI$5,0)),0)</f>
        <v>3152474</v>
      </c>
      <c r="I24" s="12">
        <f t="shared" si="0"/>
        <v>8.266910964007862E-3</v>
      </c>
      <c r="J24" s="75">
        <f>ROUND(INDEX('Ingresos Arrendamiento'!$AL$6:$AO$51,MATCH('Ingresos PR'!$B24,'Ingresos Arrendamiento'!$B$6:$B$51,0),MATCH('Ingresos PR'!$J$4,'Ingresos Arrendamiento'!$AL$5:$AO$5,0)),0)</f>
        <v>3152474</v>
      </c>
      <c r="K24" s="63">
        <f>ROUND(INDEX(NOI!$AC$6:$AF$48,MATCH('Ingresos PR'!$B24,NOI!$B$6:$B$48,0),MATCH('Ingresos PR'!K$4,NOI!$AC$5:$AF$5,0)),0)</f>
        <v>1949064</v>
      </c>
      <c r="M24" s="78"/>
      <c r="N24" s="78"/>
      <c r="O24" s="78"/>
    </row>
    <row r="25" spans="2:15" ht="15.75" thickBot="1" x14ac:dyDescent="0.3">
      <c r="B25" s="7" t="s">
        <v>59</v>
      </c>
      <c r="C25" s="13" t="s">
        <v>60</v>
      </c>
      <c r="D25" s="14" t="s">
        <v>19</v>
      </c>
      <c r="E25" s="15">
        <v>2009</v>
      </c>
      <c r="F25" s="15">
        <v>2009</v>
      </c>
      <c r="G25" s="16">
        <v>41548</v>
      </c>
      <c r="H25" s="64">
        <f>ROUND(INDEX('Ingresos Arrendamiento'!$AF$6:$AI$51,MATCH('Ingresos PR'!$B25,'Ingresos Arrendamiento'!$B$6:$B$51,0),MATCH('Ingresos PR'!$H$4,'Ingresos Arrendamiento'!$AF$5:$AI$5,0)),0)</f>
        <v>4705568</v>
      </c>
      <c r="I25" s="17">
        <f t="shared" si="0"/>
        <v>1.2339677247483897E-2</v>
      </c>
      <c r="J25" s="76">
        <f>ROUND(INDEX('Ingresos Arrendamiento'!$AL$6:$AO$51,MATCH('Ingresos PR'!$B25,'Ingresos Arrendamiento'!$B$6:$B$51,0),MATCH('Ingresos PR'!$J$4,'Ingresos Arrendamiento'!$AL$5:$AO$5,0)),0)</f>
        <v>4705568</v>
      </c>
      <c r="K25" s="64">
        <f>ROUND(INDEX(NOI!$AC$6:$AF$48,MATCH('Ingresos PR'!$B25,NOI!$B$6:$B$48,0),MATCH('Ingresos PR'!K$4,NOI!$AC$5:$AF$5,0)),0)</f>
        <v>2548708</v>
      </c>
      <c r="M25" s="78"/>
      <c r="N25" s="78"/>
      <c r="O25" s="78"/>
    </row>
    <row r="26" spans="2:15" ht="15.75" thickBot="1" x14ac:dyDescent="0.3">
      <c r="B26" s="7" t="s">
        <v>61</v>
      </c>
      <c r="C26" s="8" t="s">
        <v>62</v>
      </c>
      <c r="D26" s="9" t="s">
        <v>45</v>
      </c>
      <c r="E26" s="10">
        <v>2006</v>
      </c>
      <c r="F26" s="10">
        <v>2006</v>
      </c>
      <c r="G26" s="11">
        <v>41974</v>
      </c>
      <c r="H26" s="63">
        <f>ROUND(INDEX('Ingresos Arrendamiento'!$AF$6:$AI$51,MATCH('Ingresos PR'!$B26,'Ingresos Arrendamiento'!$B$6:$B$51,0),MATCH('Ingresos PR'!$H$4,'Ingresos Arrendamiento'!$AF$5:$AI$5,0)),0)</f>
        <v>4213896</v>
      </c>
      <c r="I26" s="12">
        <f t="shared" si="0"/>
        <v>1.1050337938897791E-2</v>
      </c>
      <c r="J26" s="63">
        <f>ROUND(INDEX('Ingresos Arrendamiento'!$AL$6:$AO$51,MATCH('Ingresos PR'!$B26,'Ingresos Arrendamiento'!$B$6:$B$51,0),MATCH('Ingresos PR'!$J$4,'Ingresos Arrendamiento'!$AL$5:$AO$5,0)),0)</f>
        <v>4213896</v>
      </c>
      <c r="K26" s="63">
        <f>ROUND(INDEX(NOI!$AC$6:$AF$48,MATCH('Ingresos PR'!$B26,NOI!$B$6:$B$48,0),MATCH('Ingresos PR'!K$4,NOI!$AC$5:$AF$5,0)),0)</f>
        <v>3572842</v>
      </c>
      <c r="M26" s="78"/>
      <c r="N26" s="78"/>
      <c r="O26" s="78"/>
    </row>
    <row r="27" spans="2:15" ht="23.25" thickBot="1" x14ac:dyDescent="0.3">
      <c r="B27" s="7" t="s">
        <v>63</v>
      </c>
      <c r="C27" s="13" t="s">
        <v>64</v>
      </c>
      <c r="D27" s="14" t="s">
        <v>65</v>
      </c>
      <c r="E27" s="15">
        <v>2010</v>
      </c>
      <c r="F27" s="15">
        <v>2010</v>
      </c>
      <c r="G27" s="16">
        <v>41821</v>
      </c>
      <c r="H27" s="64">
        <f>ROUND(INDEX('Ingresos Arrendamiento'!$AF$6:$AI$51,MATCH('Ingresos PR'!$B27,'Ingresos Arrendamiento'!$B$6:$B$51,0),MATCH('Ingresos PR'!$H$4,'Ingresos Arrendamiento'!$AF$5:$AI$5,0)),0)</f>
        <v>5524004</v>
      </c>
      <c r="I27" s="17">
        <f t="shared" si="0"/>
        <v>1.4485908284358027E-2</v>
      </c>
      <c r="J27" s="64">
        <f>ROUND(INDEX('Ingresos Arrendamiento'!$AL$6:$AO$51,MATCH('Ingresos PR'!$B27,'Ingresos Arrendamiento'!$B$6:$B$51,0),MATCH('Ingresos PR'!$J$4,'Ingresos Arrendamiento'!$AL$5:$AO$5,0)),0)</f>
        <v>5524004</v>
      </c>
      <c r="K27" s="64">
        <f>ROUND(INDEX(NOI!$AC$6:$AF$48,MATCH('Ingresos PR'!$B27,NOI!$B$6:$B$48,0),MATCH('Ingresos PR'!K$4,NOI!$AC$5:$AF$5,0)),0)</f>
        <v>5269359</v>
      </c>
      <c r="M27" s="78"/>
      <c r="N27" s="78"/>
      <c r="O27" s="78"/>
    </row>
    <row r="28" spans="2:15" ht="15.75" thickBot="1" x14ac:dyDescent="0.3">
      <c r="B28" s="7" t="s">
        <v>66</v>
      </c>
      <c r="C28" s="8" t="s">
        <v>67</v>
      </c>
      <c r="D28" s="9" t="s">
        <v>13</v>
      </c>
      <c r="E28" s="10">
        <v>2012</v>
      </c>
      <c r="F28" s="10">
        <v>2012</v>
      </c>
      <c r="G28" s="11">
        <v>41821</v>
      </c>
      <c r="H28" s="63">
        <f>ROUND(INDEX('Ingresos Arrendamiento'!$AF$6:$AI$51,MATCH('Ingresos PR'!$B28,'Ingresos Arrendamiento'!$B$6:$B$51,0),MATCH('Ingresos PR'!$H$4,'Ingresos Arrendamiento'!$AF$5:$AI$5,0)),0)</f>
        <v>3113307</v>
      </c>
      <c r="I28" s="12">
        <f t="shared" si="0"/>
        <v>8.1642011235056738E-3</v>
      </c>
      <c r="J28" s="63">
        <f>ROUND(INDEX('Ingresos Arrendamiento'!$AL$6:$AO$51,MATCH('Ingresos PR'!$B28,'Ingresos Arrendamiento'!$B$6:$B$51,0),MATCH('Ingresos PR'!$J$4,'Ingresos Arrendamiento'!$AL$5:$AO$5,0)),0)</f>
        <v>3113307</v>
      </c>
      <c r="K28" s="63">
        <f>ROUND(INDEX(NOI!$AC$6:$AF$48,MATCH('Ingresos PR'!$B28,NOI!$B$6:$B$48,0),MATCH('Ingresos PR'!K$4,NOI!$AC$5:$AF$5,0)),0)</f>
        <v>2858917</v>
      </c>
      <c r="M28" s="78"/>
      <c r="N28" s="78"/>
      <c r="O28" s="78"/>
    </row>
    <row r="29" spans="2:15" ht="15.75" thickBot="1" x14ac:dyDescent="0.3">
      <c r="B29" s="7" t="s">
        <v>68</v>
      </c>
      <c r="C29" s="13" t="s">
        <v>69</v>
      </c>
      <c r="D29" s="14" t="s">
        <v>70</v>
      </c>
      <c r="E29" s="15">
        <v>2013</v>
      </c>
      <c r="F29" s="15">
        <v>2013</v>
      </c>
      <c r="G29" s="16">
        <v>41334</v>
      </c>
      <c r="H29" s="64">
        <f>ROUND(INDEX('Ingresos Arrendamiento'!$AF$6:$AI$51,MATCH('Ingresos PR'!$B29,'Ingresos Arrendamiento'!$B$6:$B$51,0),MATCH('Ingresos PR'!$H$4,'Ingresos Arrendamiento'!$AF$5:$AI$5,0)),0)</f>
        <v>6405164</v>
      </c>
      <c r="I29" s="17">
        <f t="shared" si="0"/>
        <v>1.6796624015889886E-2</v>
      </c>
      <c r="J29" s="64">
        <f>ROUND(INDEX('Ingresos Arrendamiento'!$AL$6:$AO$51,MATCH('Ingresos PR'!$B29,'Ingresos Arrendamiento'!$B$6:$B$51,0),MATCH('Ingresos PR'!$J$4,'Ingresos Arrendamiento'!$AL$5:$AO$5,0)),0)</f>
        <v>6405164</v>
      </c>
      <c r="K29" s="64">
        <f>ROUND(INDEX(NOI!$AC$6:$AF$48,MATCH('Ingresos PR'!$B29,NOI!$B$6:$B$48,0),MATCH('Ingresos PR'!K$4,NOI!$AC$5:$AF$5,0)),0)</f>
        <v>5126383</v>
      </c>
      <c r="M29" s="78"/>
      <c r="N29" s="78"/>
      <c r="O29" s="78"/>
    </row>
    <row r="30" spans="2:15" ht="15.75" thickBot="1" x14ac:dyDescent="0.3">
      <c r="B30" s="7" t="s">
        <v>71</v>
      </c>
      <c r="C30" s="8" t="s">
        <v>72</v>
      </c>
      <c r="D30" s="9" t="s">
        <v>16</v>
      </c>
      <c r="E30" s="10">
        <v>1991</v>
      </c>
      <c r="F30" s="10">
        <v>1995</v>
      </c>
      <c r="G30" s="11">
        <v>41974</v>
      </c>
      <c r="H30" s="63">
        <f>ROUND(INDEX('Ingresos Arrendamiento'!$AF$6:$AI$51,MATCH('Ingresos PR'!$B30,'Ingresos Arrendamiento'!$B$6:$B$51,0),MATCH('Ingresos PR'!$H$4,'Ingresos Arrendamiento'!$AF$5:$AI$5,0)),0)</f>
        <v>2407222</v>
      </c>
      <c r="I30" s="12">
        <f t="shared" si="0"/>
        <v>6.3125944717072795E-3</v>
      </c>
      <c r="J30" s="63">
        <f>ROUND(INDEX('Ingresos Arrendamiento'!$AL$6:$AO$51,MATCH('Ingresos PR'!$B30,'Ingresos Arrendamiento'!$B$6:$B$51,0),MATCH('Ingresos PR'!$J$4,'Ingresos Arrendamiento'!$AL$5:$AO$5,0)),0)</f>
        <v>2407222</v>
      </c>
      <c r="K30" s="63">
        <f>ROUND(INDEX(NOI!$AC$6:$AF$48,MATCH('Ingresos PR'!$B30,NOI!$B$6:$B$48,0),MATCH('Ingresos PR'!K$4,NOI!$AC$5:$AF$5,0)),0)</f>
        <v>1548390</v>
      </c>
      <c r="M30" s="78"/>
      <c r="N30" s="78"/>
      <c r="O30" s="78"/>
    </row>
    <row r="31" spans="2:15" ht="15.75" thickBot="1" x14ac:dyDescent="0.3">
      <c r="B31" s="7" t="s">
        <v>73</v>
      </c>
      <c r="C31" s="13" t="s">
        <v>74</v>
      </c>
      <c r="D31" s="14" t="s">
        <v>75</v>
      </c>
      <c r="E31" s="15">
        <v>2015</v>
      </c>
      <c r="F31" s="15">
        <v>2016</v>
      </c>
      <c r="G31" s="16">
        <v>42064</v>
      </c>
      <c r="H31" s="64">
        <f>ROUND(INDEX('Ingresos Arrendamiento'!$AF$6:$AI$51,MATCH('Ingresos PR'!$B31,'Ingresos Arrendamiento'!$B$6:$B$51,0),MATCH('Ingresos PR'!$H$4,'Ingresos Arrendamiento'!$AF$5:$AI$5,0)),0)</f>
        <v>4822533</v>
      </c>
      <c r="I31" s="17">
        <f t="shared" si="0"/>
        <v>1.2646401185859019E-2</v>
      </c>
      <c r="J31" s="64">
        <f>ROUND(INDEX('Ingresos Arrendamiento'!$AL$6:$AO$51,MATCH('Ingresos PR'!$B31,'Ingresos Arrendamiento'!$B$6:$B$51,0),MATCH('Ingresos PR'!$J$4,'Ingresos Arrendamiento'!$AL$5:$AO$5,0)),0)</f>
        <v>4822533</v>
      </c>
      <c r="K31" s="64">
        <f>ROUND(INDEX(NOI!$AC$6:$AF$48,MATCH('Ingresos PR'!$B31,NOI!$B$6:$B$48,0),MATCH('Ingresos PR'!K$4,NOI!$AC$5:$AF$5,0)),0)</f>
        <v>3226145</v>
      </c>
      <c r="M31" s="78"/>
      <c r="N31" s="78"/>
      <c r="O31" s="78"/>
    </row>
    <row r="32" spans="2:15" ht="15.75" thickBot="1" x14ac:dyDescent="0.3">
      <c r="B32" s="7" t="s">
        <v>76</v>
      </c>
      <c r="C32" s="8" t="s">
        <v>77</v>
      </c>
      <c r="D32" s="9" t="s">
        <v>25</v>
      </c>
      <c r="E32" s="10">
        <v>2008</v>
      </c>
      <c r="F32" s="10">
        <v>2008</v>
      </c>
      <c r="G32" s="11">
        <v>42614</v>
      </c>
      <c r="H32" s="63">
        <f>ROUND(INDEX('Ingresos Arrendamiento'!$AF$6:$AI$51,MATCH('Ingresos PR'!$B32,'Ingresos Arrendamiento'!$B$6:$B$51,0),MATCH('Ingresos PR'!$H$4,'Ingresos Arrendamiento'!$AF$5:$AI$5,0)),0)</f>
        <v>6148897</v>
      </c>
      <c r="I32" s="12">
        <f t="shared" si="0"/>
        <v>1.612460056002208E-2</v>
      </c>
      <c r="J32" s="63">
        <f>ROUND(INDEX('Ingresos Arrendamiento'!$AL$6:$AO$51,MATCH('Ingresos PR'!$B32,'Ingresos Arrendamiento'!$B$6:$B$51,0),MATCH('Ingresos PR'!$J$4,'Ingresos Arrendamiento'!$AL$5:$AO$5,0)),0)</f>
        <v>6148897</v>
      </c>
      <c r="K32" s="63">
        <f>ROUND(INDEX(NOI!$AC$6:$AF$48,MATCH('Ingresos PR'!$B32,NOI!$B$6:$B$48,0),MATCH('Ingresos PR'!K$4,NOI!$AC$5:$AF$5,0)),0)</f>
        <v>5157851</v>
      </c>
      <c r="M32" s="78"/>
      <c r="N32" s="78"/>
      <c r="O32" s="78"/>
    </row>
    <row r="33" spans="2:15" ht="15.75" thickBot="1" x14ac:dyDescent="0.3">
      <c r="B33" s="7" t="s">
        <v>78</v>
      </c>
      <c r="C33" s="13" t="s">
        <v>79</v>
      </c>
      <c r="D33" s="14" t="s">
        <v>80</v>
      </c>
      <c r="E33" s="15">
        <v>2014</v>
      </c>
      <c r="F33" s="15">
        <v>2016</v>
      </c>
      <c r="G33" s="16">
        <v>41944</v>
      </c>
      <c r="H33" s="64">
        <f>ROUND(INDEX('Ingresos Arrendamiento'!$AF$6:$AI$51,MATCH('Ingresos PR'!$B33,'Ingresos Arrendamiento'!$B$6:$B$51,0),MATCH('Ingresos PR'!$H$4,'Ingresos Arrendamiento'!$AF$5:$AI$5,0)),0)</f>
        <v>10178835</v>
      </c>
      <c r="I33" s="17">
        <f t="shared" si="0"/>
        <v>2.669253502561067E-2</v>
      </c>
      <c r="J33" s="64">
        <f>ROUND(INDEX('Ingresos Arrendamiento'!$AL$6:$AO$51,MATCH('Ingresos PR'!$B33,'Ingresos Arrendamiento'!$B$6:$B$51,0),MATCH('Ingresos PR'!$J$4,'Ingresos Arrendamiento'!$AL$5:$AO$5,0)),0)</f>
        <v>10178835</v>
      </c>
      <c r="K33" s="64">
        <f>ROUND(INDEX(NOI!$AC$6:$AF$48,MATCH('Ingresos PR'!$B33,NOI!$B$6:$B$48,0),MATCH('Ingresos PR'!K$4,NOI!$AC$5:$AF$5,0)),0)</f>
        <v>8000049</v>
      </c>
      <c r="M33" s="78"/>
      <c r="N33" s="78"/>
      <c r="O33" s="78"/>
    </row>
    <row r="34" spans="2:15" ht="15.75" thickBot="1" x14ac:dyDescent="0.3">
      <c r="B34" s="7" t="s">
        <v>81</v>
      </c>
      <c r="C34" s="8" t="s">
        <v>82</v>
      </c>
      <c r="D34" s="9" t="s">
        <v>10</v>
      </c>
      <c r="E34" s="10">
        <v>2014</v>
      </c>
      <c r="F34" s="10">
        <v>2016</v>
      </c>
      <c r="G34" s="11">
        <v>41852</v>
      </c>
      <c r="H34" s="63">
        <f>ROUND(INDEX('Ingresos Arrendamiento'!$AF$6:$AI$51,MATCH('Ingresos PR'!$B34,'Ingresos Arrendamiento'!$B$6:$B$51,0),MATCH('Ingresos PR'!$H$4,'Ingresos Arrendamiento'!$AF$5:$AI$5,0)),0)</f>
        <v>6481698</v>
      </c>
      <c r="I34" s="12">
        <f t="shared" si="0"/>
        <v>1.6997323455034945E-2</v>
      </c>
      <c r="J34" s="63">
        <f>ROUND(INDEX('Ingresos Arrendamiento'!$AL$6:$AO$51,MATCH('Ingresos PR'!$B34,'Ingresos Arrendamiento'!$B$6:$B$51,0),MATCH('Ingresos PR'!$J$4,'Ingresos Arrendamiento'!$AL$5:$AO$5,0)),0)</f>
        <v>6481698</v>
      </c>
      <c r="K34" s="63">
        <f>ROUND(INDEX(NOI!$AC$6:$AF$48,MATCH('Ingresos PR'!$B34,NOI!$B$6:$B$48,0),MATCH('Ingresos PR'!K$4,NOI!$AC$5:$AF$5,0)),0)</f>
        <v>5116592</v>
      </c>
      <c r="M34" s="78"/>
      <c r="N34" s="78"/>
      <c r="O34" s="78"/>
    </row>
    <row r="35" spans="2:15" ht="15.75" thickBot="1" x14ac:dyDescent="0.3">
      <c r="B35" s="7" t="s">
        <v>83</v>
      </c>
      <c r="C35" s="13" t="s">
        <v>84</v>
      </c>
      <c r="D35" s="14" t="s">
        <v>10</v>
      </c>
      <c r="E35" s="15">
        <v>2008</v>
      </c>
      <c r="F35" s="15">
        <v>2009</v>
      </c>
      <c r="G35" s="16">
        <v>43040</v>
      </c>
      <c r="H35" s="64">
        <f>ROUND(INDEX('Ingresos Arrendamiento'!$AF$6:$AI$51,MATCH('Ingresos PR'!$B35,'Ingresos Arrendamiento'!$B$6:$B$51,0),MATCH('Ingresos PR'!$H$4,'Ingresos Arrendamiento'!$AF$5:$AI$5,0)),0)</f>
        <v>5418232</v>
      </c>
      <c r="I35" s="17">
        <f t="shared" si="0"/>
        <v>1.4208536383278101E-2</v>
      </c>
      <c r="J35" s="64">
        <f>ROUND(INDEX('Ingresos Arrendamiento'!$AL$6:$AO$51,MATCH('Ingresos PR'!$B35,'Ingresos Arrendamiento'!$B$6:$B$51,0),MATCH('Ingresos PR'!$J$4,'Ingresos Arrendamiento'!$AL$5:$AO$5,0)),0)</f>
        <v>5418232</v>
      </c>
      <c r="K35" s="64">
        <f>ROUND(INDEX(NOI!$AC$6:$AF$48,MATCH('Ingresos PR'!$B35,NOI!$B$6:$B$48,0),MATCH('Ingresos PR'!K$4,NOI!$AC$5:$AF$5,0)),0)</f>
        <v>5629132</v>
      </c>
      <c r="M35" s="78"/>
      <c r="N35" s="78"/>
      <c r="O35" s="78"/>
    </row>
    <row r="36" spans="2:15" ht="15.75" thickBot="1" x14ac:dyDescent="0.3">
      <c r="B36" s="7" t="s">
        <v>85</v>
      </c>
      <c r="C36" s="8" t="s">
        <v>86</v>
      </c>
      <c r="D36" s="9" t="s">
        <v>10</v>
      </c>
      <c r="E36" s="10">
        <v>2007</v>
      </c>
      <c r="F36" s="10">
        <v>2011</v>
      </c>
      <c r="G36" s="11">
        <v>43040</v>
      </c>
      <c r="H36" s="63">
        <f>ROUND(INDEX('Ingresos Arrendamiento'!$AF$6:$AI$51,MATCH('Ingresos PR'!$B36,'Ingresos Arrendamiento'!$B$6:$B$51,0),MATCH('Ingresos PR'!$H$4,'Ingresos Arrendamiento'!$AF$5:$AI$5,0)),0)</f>
        <v>6923544</v>
      </c>
      <c r="I36" s="12">
        <f t="shared" si="0"/>
        <v>1.8156001224241929E-2</v>
      </c>
      <c r="J36" s="63">
        <f>ROUND(INDEX('Ingresos Arrendamiento'!$AL$6:$AO$51,MATCH('Ingresos PR'!$B36,'Ingresos Arrendamiento'!$B$6:$B$51,0),MATCH('Ingresos PR'!$J$4,'Ingresos Arrendamiento'!$AL$5:$AO$5,0)),0)</f>
        <v>6923544</v>
      </c>
      <c r="K36" s="63">
        <f>ROUND(INDEX(NOI!$AC$6:$AF$48,MATCH('Ingresos PR'!$B36,NOI!$B$6:$B$48,0),MATCH('Ingresos PR'!K$4,NOI!$AC$5:$AF$5,0)),0)</f>
        <v>4617032</v>
      </c>
      <c r="M36" s="78"/>
      <c r="N36" s="78"/>
      <c r="O36" s="78"/>
    </row>
    <row r="37" spans="2:15" ht="23.25" thickBot="1" x14ac:dyDescent="0.3">
      <c r="B37" s="7" t="s">
        <v>87</v>
      </c>
      <c r="C37" s="13" t="s">
        <v>88</v>
      </c>
      <c r="D37" s="14" t="s">
        <v>50</v>
      </c>
      <c r="E37" s="15">
        <v>2014</v>
      </c>
      <c r="F37" s="15">
        <v>2017</v>
      </c>
      <c r="G37" s="16">
        <v>41944</v>
      </c>
      <c r="H37" s="64">
        <f>ROUND(INDEX('Ingresos Arrendamiento'!$AF$6:$AI$51,MATCH('Ingresos PR'!$B37,'Ingresos Arrendamiento'!$B$6:$B$51,0),MATCH('Ingresos PR'!$H$4,'Ingresos Arrendamiento'!$AF$5:$AI$5,0)),0)</f>
        <v>4974821</v>
      </c>
      <c r="I37" s="17">
        <f t="shared" si="0"/>
        <v>1.3045754626010098E-2</v>
      </c>
      <c r="J37" s="64">
        <f>ROUND(INDEX('Ingresos Arrendamiento'!$AL$6:$AO$51,MATCH('Ingresos PR'!$B37,'Ingresos Arrendamiento'!$B$6:$B$51,0),MATCH('Ingresos PR'!$J$4,'Ingresos Arrendamiento'!$AL$5:$AO$5,0)),0)</f>
        <v>4974821</v>
      </c>
      <c r="K37" s="64">
        <f>ROUND(INDEX(NOI!$AC$6:$AF$48,MATCH('Ingresos PR'!$B37,NOI!$B$6:$B$48,0),MATCH('Ingresos PR'!K$4,NOI!$AC$5:$AF$5,0)),0)</f>
        <v>2005303</v>
      </c>
      <c r="M37" s="78"/>
      <c r="N37" s="78"/>
      <c r="O37" s="78"/>
    </row>
    <row r="38" spans="2:15" ht="15.75" thickBot="1" x14ac:dyDescent="0.3">
      <c r="B38" s="7" t="s">
        <v>89</v>
      </c>
      <c r="C38" s="8" t="s">
        <v>90</v>
      </c>
      <c r="D38" s="9" t="s">
        <v>19</v>
      </c>
      <c r="E38" s="10">
        <v>2015</v>
      </c>
      <c r="F38" s="10">
        <v>2017</v>
      </c>
      <c r="G38" s="11">
        <v>42248</v>
      </c>
      <c r="H38" s="63">
        <f>ROUND(INDEX('Ingresos Arrendamiento'!$AF$6:$AI$51,MATCH('Ingresos PR'!$B38,'Ingresos Arrendamiento'!$B$6:$B$51,0),MATCH('Ingresos PR'!$H$4,'Ingresos Arrendamiento'!$AF$5:$AI$5,0)),0)</f>
        <v>18865399</v>
      </c>
      <c r="I38" s="12">
        <f t="shared" si="0"/>
        <v>4.9471803362528273E-2</v>
      </c>
      <c r="J38" s="63">
        <f>ROUND(INDEX('Ingresos Arrendamiento'!$AL$6:$AO$51,MATCH('Ingresos PR'!$B38,'Ingresos Arrendamiento'!$B$6:$B$51,0),MATCH('Ingresos PR'!$J$4,'Ingresos Arrendamiento'!$AL$5:$AO$5,0)),0)</f>
        <v>18865399</v>
      </c>
      <c r="K38" s="63">
        <f>ROUND(INDEX(NOI!$AC$6:$AF$48,MATCH('Ingresos PR'!$B38,NOI!$B$6:$B$48,0),MATCH('Ingresos PR'!K$4,NOI!$AC$5:$AF$5,0)),0)</f>
        <v>15679263</v>
      </c>
      <c r="M38" s="78"/>
      <c r="N38" s="78"/>
      <c r="O38" s="78"/>
    </row>
    <row r="39" spans="2:15" ht="15.75" thickBot="1" x14ac:dyDescent="0.3">
      <c r="B39" s="7" t="s">
        <v>98</v>
      </c>
      <c r="C39" s="13" t="s">
        <v>99</v>
      </c>
      <c r="D39" s="14" t="s">
        <v>100</v>
      </c>
      <c r="E39" s="15">
        <v>2011</v>
      </c>
      <c r="F39" s="15">
        <v>2011</v>
      </c>
      <c r="G39" s="16">
        <v>2011</v>
      </c>
      <c r="H39" s="64">
        <f>ROUND(INDEX('Ingresos Arrendamiento'!$AF$6:$AI$51,MATCH('Ingresos PR'!$B39,'Ingresos Arrendamiento'!$B$6:$B$51,0),MATCH('Ingresos PR'!$H$4,'Ingresos Arrendamiento'!$AF$5:$AI$5,0)),0)</f>
        <v>8934210</v>
      </c>
      <c r="I39" s="17">
        <f t="shared" si="0"/>
        <v>2.3428684456635863E-2</v>
      </c>
      <c r="J39" s="64">
        <f>ROUND(INDEX('Ingresos Arrendamiento'!$AL$6:$AO$51,MATCH('Ingresos PR'!$B39,'Ingresos Arrendamiento'!$B$6:$B$51,0),MATCH('Ingresos PR'!$J$4,'Ingresos Arrendamiento'!$AL$5:$AO$5,0)),0)</f>
        <v>8934210</v>
      </c>
      <c r="K39" s="64">
        <f>ROUND(INDEX(NOI!$AC$6:$AF$48,MATCH('Ingresos PR'!$B39,NOI!$B$6:$B$48,0),MATCH('Ingresos PR'!K$4,NOI!$AC$5:$AF$5,0)),0)</f>
        <v>7554472</v>
      </c>
      <c r="L39" s="49"/>
    </row>
    <row r="40" spans="2:15" ht="15.75" thickBot="1" x14ac:dyDescent="0.3">
      <c r="B40" s="7" t="s">
        <v>101</v>
      </c>
      <c r="C40" s="8" t="s">
        <v>102</v>
      </c>
      <c r="D40" s="9" t="s">
        <v>103</v>
      </c>
      <c r="E40" s="10">
        <v>2011</v>
      </c>
      <c r="F40" s="10">
        <v>2011</v>
      </c>
      <c r="G40" s="11">
        <v>2011</v>
      </c>
      <c r="H40" s="63">
        <f>ROUND(INDEX('Ingresos Arrendamiento'!$AF$6:$AI$51,MATCH('Ingresos PR'!$B40,'Ingresos Arrendamiento'!$B$6:$B$51,0),MATCH('Ingresos PR'!$H$4,'Ingresos Arrendamiento'!$AF$5:$AI$5,0)),0)</f>
        <v>2938869</v>
      </c>
      <c r="I40" s="12">
        <f t="shared" si="0"/>
        <v>7.7067624849190891E-3</v>
      </c>
      <c r="J40" s="63">
        <f>ROUND(INDEX('Ingresos Arrendamiento'!$AL$6:$AO$51,MATCH('Ingresos PR'!$B40,'Ingresos Arrendamiento'!$B$6:$B$51,0),MATCH('Ingresos PR'!$J$4,'Ingresos Arrendamiento'!$AL$5:$AO$5,0)),0)</f>
        <v>2938869</v>
      </c>
      <c r="K40" s="63">
        <f>ROUND(INDEX(NOI!$AC$6:$AF$48,MATCH('Ingresos PR'!$B40,NOI!$B$6:$B$48,0),MATCH('Ingresos PR'!K$4,NOI!$AC$5:$AF$5,0)),0)</f>
        <v>2168852</v>
      </c>
      <c r="L40" s="49"/>
    </row>
    <row r="41" spans="2:15" ht="15.75" thickBot="1" x14ac:dyDescent="0.3">
      <c r="C41" s="18" t="s">
        <v>296</v>
      </c>
      <c r="D41" s="14"/>
      <c r="E41" s="14"/>
      <c r="F41" s="14"/>
      <c r="G41" s="14"/>
      <c r="H41" s="65">
        <f>SUM(H6:H40)</f>
        <v>381336392</v>
      </c>
      <c r="I41" s="19">
        <f>SUM(I6:I40)</f>
        <v>0.99999999999999989</v>
      </c>
      <c r="J41" s="65">
        <f>SUM(J6:J40)</f>
        <v>381336392</v>
      </c>
      <c r="K41" s="65">
        <f>SUM(K6:K40)</f>
        <v>290598624</v>
      </c>
    </row>
    <row r="42" spans="2:15" ht="15.75" thickBot="1" x14ac:dyDescent="0.3">
      <c r="H42" s="66"/>
      <c r="J42" s="66"/>
      <c r="K42" s="66"/>
    </row>
    <row r="43" spans="2:15" ht="15.75" thickBot="1" x14ac:dyDescent="0.3">
      <c r="B43" s="20" t="s">
        <v>92</v>
      </c>
      <c r="C43" s="8" t="s">
        <v>93</v>
      </c>
      <c r="D43" s="9"/>
      <c r="E43" s="9"/>
      <c r="F43" s="9"/>
      <c r="G43" s="9"/>
      <c r="H43" s="63">
        <f>ROUND(INDEX('Ingresos Arrendamiento'!$AF$6:$AI$51,MATCH('Ingresos PR'!$B43,'Ingresos Arrendamiento'!$B$6:$B$51,0),MATCH('Ingresos PR'!$H$4,'Ingresos Arrendamiento'!$AF$5:$AI$5,0)),0)</f>
        <v>80348</v>
      </c>
      <c r="I43" s="12"/>
      <c r="J43" s="63">
        <f>ROUND(INDEX('Ingresos Arrendamiento'!$AL$6:$AO$51,MATCH('Ingresos PR'!$B43,'Ingresos Arrendamiento'!$B$6:$B$51,0),MATCH('Ingresos PR'!$J$4,'Ingresos Arrendamiento'!$AL$5:$AO$5,0)),0)</f>
        <v>80348</v>
      </c>
      <c r="K43" s="63">
        <v>0</v>
      </c>
    </row>
    <row r="44" spans="2:15" ht="15.75" thickBot="1" x14ac:dyDescent="0.3">
      <c r="B44" s="20"/>
      <c r="C44" s="18" t="s">
        <v>238</v>
      </c>
      <c r="D44" s="14"/>
      <c r="E44" s="14"/>
      <c r="F44" s="14"/>
      <c r="G44" s="14"/>
      <c r="H44" s="65">
        <f>+H41+H43</f>
        <v>381416740</v>
      </c>
      <c r="I44" s="19"/>
      <c r="J44" s="65">
        <f>+J41+J43</f>
        <v>381416740</v>
      </c>
      <c r="K44" s="65">
        <f>+K41+K43</f>
        <v>290598624</v>
      </c>
      <c r="M44" s="41"/>
    </row>
    <row r="45" spans="2:15" ht="15.75" thickBot="1" x14ac:dyDescent="0.3">
      <c r="H45" s="21"/>
      <c r="J45" s="21"/>
      <c r="K45" s="21"/>
      <c r="M45" s="41"/>
    </row>
    <row r="46" spans="2:15" ht="32.25" thickBot="1" x14ac:dyDescent="0.3">
      <c r="C46" s="5" t="s">
        <v>294</v>
      </c>
      <c r="D46" s="5" t="s">
        <v>1</v>
      </c>
      <c r="E46" s="5" t="s">
        <v>2</v>
      </c>
      <c r="F46" s="5" t="s">
        <v>3</v>
      </c>
      <c r="G46" s="5" t="s">
        <v>4</v>
      </c>
      <c r="H46" s="5" t="str">
        <f>H5</f>
        <v>Ingreso por arrendamiento 1T22 (Ps.)</v>
      </c>
      <c r="I46" s="5" t="s">
        <v>5</v>
      </c>
      <c r="J46" s="5" t="str">
        <f>J5</f>
        <v>Ingreso por arrendamiento 
3M22 (Ps.)</v>
      </c>
      <c r="K46" s="5" t="str">
        <f>K5</f>
        <v>NOI 
3M22 (Ps.)</v>
      </c>
      <c r="M46" s="37"/>
    </row>
    <row r="47" spans="2:15" ht="15.75" thickBot="1" x14ac:dyDescent="0.3">
      <c r="B47" s="7" t="s">
        <v>95</v>
      </c>
      <c r="C47" s="8" t="s">
        <v>96</v>
      </c>
      <c r="D47" s="9" t="s">
        <v>97</v>
      </c>
      <c r="E47" s="10">
        <v>2006</v>
      </c>
      <c r="F47" s="10">
        <v>2007</v>
      </c>
      <c r="G47" s="11">
        <v>206</v>
      </c>
      <c r="H47" s="63">
        <f>ROUND(INDEX('Ingresos Arrendamiento'!$AF$6:$AI$51,MATCH('Ingresos PR'!$B47,'Ingresos Arrendamiento'!$B$6:$B$51,0),MATCH('Ingresos PR'!$H$4,'Ingresos Arrendamiento'!$AF$5:$AI$5,0))*$L47,0)</f>
        <v>27001576</v>
      </c>
      <c r="I47" s="12">
        <f>+H47/H48</f>
        <v>1</v>
      </c>
      <c r="J47" s="63">
        <f>ROUND(INDEX('Ingresos Arrendamiento'!$AL$6:$AO$51,MATCH('Ingresos PR'!$B47,'Ingresos Arrendamiento'!$B$6:$B$51,0),MATCH('Ingresos PR'!$J$4,'Ingresos Arrendamiento'!$AL$5:$AO$5,0))*$L47,0)</f>
        <v>27001576</v>
      </c>
      <c r="K47" s="63">
        <f>ROUND(INDEX(NOI!$AC$6:$AF$48,MATCH('Ingresos PR'!$B47,NOI!$B$6:$B$48,0),MATCH('Ingresos PR'!K$4,NOI!$AC$5:$AF$5,0))*$L47,0)</f>
        <v>23533996</v>
      </c>
      <c r="L47" s="49">
        <v>0.4</v>
      </c>
    </row>
    <row r="48" spans="2:15" ht="15.75" thickBot="1" x14ac:dyDescent="0.3">
      <c r="C48" s="22" t="s">
        <v>295</v>
      </c>
      <c r="D48" s="14"/>
      <c r="E48" s="14"/>
      <c r="F48" s="14"/>
      <c r="G48" s="14"/>
      <c r="H48" s="65">
        <f>SUM(H47:H47)</f>
        <v>27001576</v>
      </c>
      <c r="I48" s="19">
        <f>SUM(I47:I47)</f>
        <v>1</v>
      </c>
      <c r="J48" s="65">
        <f>SUM(J47:J47)</f>
        <v>27001576</v>
      </c>
      <c r="K48" s="65">
        <f>SUM(K47:K47)</f>
        <v>23533996</v>
      </c>
    </row>
    <row r="49" spans="3:12" ht="15.75" thickBot="1" x14ac:dyDescent="0.3">
      <c r="H49" s="66"/>
      <c r="J49" s="66"/>
      <c r="K49" s="66"/>
    </row>
    <row r="50" spans="3:12" ht="15.75" thickBot="1" x14ac:dyDescent="0.3">
      <c r="C50" s="68" t="s">
        <v>237</v>
      </c>
      <c r="D50" s="69"/>
      <c r="E50" s="69"/>
      <c r="F50" s="69"/>
      <c r="G50" s="69"/>
      <c r="H50" s="70">
        <f>+H44+H48</f>
        <v>408418316</v>
      </c>
      <c r="I50" s="71"/>
      <c r="J50" s="70">
        <f>+J44+J48</f>
        <v>408418316</v>
      </c>
      <c r="K50" s="70">
        <f>+K44+K48</f>
        <v>314132620</v>
      </c>
    </row>
    <row r="51" spans="3:12" ht="15.75" thickBot="1" x14ac:dyDescent="0.3">
      <c r="C51" s="68" t="s">
        <v>302</v>
      </c>
      <c r="D51" s="69"/>
      <c r="E51" s="69"/>
      <c r="F51" s="69"/>
      <c r="G51" s="69"/>
      <c r="H51" s="70">
        <f>ROUND(INDEX('Ingresos Arrendamiento'!$AF$62:$AI$62,1,MATCH('Ingresos PR'!$H$4,'Ingresos Arrendamiento'!$AF$5:$AI$5,0)),0)-H50</f>
        <v>0</v>
      </c>
      <c r="I51" s="70"/>
      <c r="J51" s="70">
        <f>ROUND(INDEX('Ingresos Arrendamiento'!$AL$62:$AO$62,1,MATCH('Ingresos PR'!$J$4,'Ingresos Arrendamiento'!$AL$5:$AO$5,0)),0)-J50</f>
        <v>0</v>
      </c>
      <c r="K51" s="70">
        <f>ROUND(INDEX(NOI!$AC$59:$AF$59,1,MATCH('Ingresos PR'!K$4,NOI!$AC$5:$AF$5,0)),0)-'Ingresos PR'!K50</f>
        <v>0</v>
      </c>
    </row>
    <row r="52" spans="3:12" x14ac:dyDescent="0.25">
      <c r="H52" s="23"/>
      <c r="J52" s="23"/>
    </row>
    <row r="53" spans="3:12" x14ac:dyDescent="0.25">
      <c r="H53" s="78"/>
      <c r="J53" s="78"/>
    </row>
    <row r="54" spans="3:12" x14ac:dyDescent="0.25">
      <c r="H54" s="78"/>
      <c r="I54" s="78"/>
      <c r="J54" s="78"/>
      <c r="L54" s="37"/>
    </row>
    <row r="55" spans="3:12" x14ac:dyDescent="0.25">
      <c r="H55" s="23"/>
      <c r="J55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86"/>
  <sheetViews>
    <sheetView showGridLines="0" topLeftCell="B1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E7" sqref="E7"/>
    </sheetView>
  </sheetViews>
  <sheetFormatPr baseColWidth="10" defaultRowHeight="15" x14ac:dyDescent="0.25"/>
  <cols>
    <col min="1" max="1" width="2.7109375" customWidth="1"/>
    <col min="3" max="3" width="36.7109375" bestFit="1" customWidth="1"/>
    <col min="4" max="7" width="11.42578125" customWidth="1"/>
    <col min="8" max="9" width="13.85546875" customWidth="1"/>
    <col min="10" max="13" width="12.85546875" customWidth="1"/>
    <col min="15" max="19" width="12.85546875" customWidth="1"/>
  </cols>
  <sheetData>
    <row r="1" spans="2:20" ht="18.75" x14ac:dyDescent="0.3">
      <c r="B1" s="27" t="s">
        <v>105</v>
      </c>
    </row>
    <row r="2" spans="2:20" ht="18.75" x14ac:dyDescent="0.3">
      <c r="B2" s="27" t="s">
        <v>289</v>
      </c>
    </row>
    <row r="3" spans="2:20" ht="18.75" x14ac:dyDescent="0.3">
      <c r="B3" s="27" t="str">
        <f>'Ingresos PR'!B3</f>
        <v>1Q 2022</v>
      </c>
    </row>
    <row r="4" spans="2:20" ht="24.75" thickBot="1" x14ac:dyDescent="0.3">
      <c r="C4" s="1"/>
      <c r="D4" s="2"/>
      <c r="E4" s="3"/>
      <c r="F4" s="3"/>
      <c r="G4" s="2"/>
      <c r="H4" s="59" t="str">
        <f>QUARTER</f>
        <v>1Q 2022</v>
      </c>
      <c r="I4" s="59" t="str">
        <f>PY_QUARTER</f>
        <v>1Q 2021</v>
      </c>
      <c r="J4" s="59" t="str">
        <f>Control!$H$9</f>
        <v>3M22</v>
      </c>
      <c r="K4" s="59" t="str">
        <f>Control!$H$11</f>
        <v>3M21</v>
      </c>
      <c r="L4" s="59" t="str">
        <f>J4</f>
        <v>3M22</v>
      </c>
      <c r="M4" s="59" t="str">
        <f>K4</f>
        <v>3M21</v>
      </c>
      <c r="O4" s="77" t="s">
        <v>312</v>
      </c>
      <c r="P4" s="77" t="s">
        <v>313</v>
      </c>
      <c r="Q4" s="77" t="s">
        <v>314</v>
      </c>
      <c r="R4" s="77" t="s">
        <v>315</v>
      </c>
      <c r="S4" s="77"/>
    </row>
    <row r="5" spans="2:20" ht="15.75" customHeight="1" thickBot="1" x14ac:dyDescent="0.3">
      <c r="C5" s="79" t="s">
        <v>0</v>
      </c>
      <c r="D5" s="79" t="s">
        <v>1</v>
      </c>
      <c r="E5" s="79" t="s">
        <v>2</v>
      </c>
      <c r="F5" s="79" t="s">
        <v>3</v>
      </c>
      <c r="G5" s="79" t="s">
        <v>4</v>
      </c>
      <c r="H5" s="79" t="str">
        <f>CONCATENATE("Ingreso por arrendamiento ",Control!$I$9," (Ps.)")</f>
        <v>Ingreso por arrendamiento 1T22 (Ps.)</v>
      </c>
      <c r="I5" s="79" t="str">
        <f>CONCATENATE("Ingreso por arrendamiento ",Control!$I$11," (Ps.)")</f>
        <v>Ingreso por arrendamiento 1T21 (Ps.)</v>
      </c>
      <c r="J5" s="79" t="str">
        <f>CONCATENATE("Ingreso por arrendamiento ",CHAR(10),Control!$H$9," (Ps.)")</f>
        <v>Ingreso por arrendamiento 
3M22 (Ps.)</v>
      </c>
      <c r="K5" s="79" t="str">
        <f>CONCATENATE("Ingreso por arrendamiento ",CHAR(10),Control!$H$11," (Ps.)")</f>
        <v>Ingreso por arrendamiento 
3M21 (Ps.)</v>
      </c>
      <c r="L5" s="5" t="s">
        <v>6</v>
      </c>
      <c r="M5" s="5" t="s">
        <v>6</v>
      </c>
      <c r="O5" s="79" t="s">
        <v>308</v>
      </c>
      <c r="P5" s="79" t="s">
        <v>309</v>
      </c>
      <c r="Q5" s="79" t="s">
        <v>310</v>
      </c>
      <c r="R5" s="79" t="s">
        <v>311</v>
      </c>
      <c r="S5" s="79" t="s">
        <v>231</v>
      </c>
    </row>
    <row r="6" spans="2:20" ht="15.75" customHeight="1" thickBot="1" x14ac:dyDescent="0.3">
      <c r="B6" s="6" t="s">
        <v>7</v>
      </c>
      <c r="C6" s="79"/>
      <c r="D6" s="79"/>
      <c r="E6" s="79"/>
      <c r="F6" s="79"/>
      <c r="G6" s="79"/>
      <c r="H6" s="79"/>
      <c r="I6" s="79"/>
      <c r="J6" s="79"/>
      <c r="K6" s="79"/>
      <c r="L6" s="5" t="str">
        <f>CONCATENATE(Control!$H$9," (Ps.)")</f>
        <v>3M22 (Ps.)</v>
      </c>
      <c r="M6" s="5" t="str">
        <f>CONCATENATE(Control!$H$11," (Ps.)")</f>
        <v>3M21 (Ps.)</v>
      </c>
      <c r="O6" s="79"/>
      <c r="P6" s="79"/>
      <c r="Q6" s="79"/>
      <c r="R6" s="79"/>
      <c r="S6" s="79"/>
    </row>
    <row r="7" spans="2:20" ht="15.75" thickBot="1" x14ac:dyDescent="0.3">
      <c r="B7" s="7" t="s">
        <v>8</v>
      </c>
      <c r="C7" s="8" t="s">
        <v>9</v>
      </c>
      <c r="D7" s="9" t="s">
        <v>10</v>
      </c>
      <c r="E7" s="10">
        <v>2006</v>
      </c>
      <c r="F7" s="10">
        <v>2010</v>
      </c>
      <c r="G7" s="11">
        <v>41974</v>
      </c>
      <c r="H7" s="38">
        <f>VLOOKUP($B7,'Ingresos PR'!$B$6:$K$48,7,FALSE)</f>
        <v>20350095</v>
      </c>
      <c r="I7" s="38">
        <f>ROUND(INDEX('Ingresos Arrendamiento'!$BP$6:$BS$51,MATCH($B7,'Ingresos Arrendamiento'!$B$6:$B$51,0),MATCH(I$4,'Ingresos Arrendamiento'!$BP$5:$BS$5,0)),0)</f>
        <v>14671688</v>
      </c>
      <c r="J7" s="38">
        <f>VLOOKUP($B7,'Ingresos PR'!$B$6:$K$48,9,FALSE)</f>
        <v>20350095</v>
      </c>
      <c r="K7" s="38">
        <f>ROUND(INDEX('Ingresos Arrendamiento'!$BV$6:$BY$51,MATCH($B7,'Ingresos Arrendamiento'!$B$6:$B$51,0),MATCH(K$4,'Ingresos Arrendamiento'!$BV$5:$BY$5,0)),0)</f>
        <v>14671688</v>
      </c>
      <c r="L7" s="38">
        <f>VLOOKUP($B7,'Ingresos PR'!$B$6:$K$48,10,FALSE)</f>
        <v>10533895</v>
      </c>
      <c r="M7" s="38">
        <f>ROUND(INDEX(NOI!$BC$6:$BF$48,MATCH($B7,NOI!$B$6:$B$48,0),MATCH(M$4,NOI!$BC$5:$BF$5,0)),0)</f>
        <v>4981321</v>
      </c>
      <c r="O7" s="38">
        <f>ROUND(_xlfn.XLOOKUP($B7,'[1]Detalle de Ingresos'!$D$49:$AS$49,'[1]Detalle de Ingresos'!$D$43:$AS$43),0)</f>
        <v>62002140</v>
      </c>
      <c r="P7" s="38">
        <f>ROUND(_xlfn.XLOOKUP($B7,'[1]Detalle de Ingresos'!$D$49:$AS$49,'[1]Detalle de Ingresos'!$D$44:$AS$44),0)</f>
        <v>8332499</v>
      </c>
      <c r="Q7" s="38">
        <f>ROUND(_xlfn.XLOOKUP($B7,'[1]Detalle de Ingresos'!$D$49:$AS$49,'[1]Detalle de Ingresos'!$D$45:$AS$45),0)</f>
        <v>1924451</v>
      </c>
      <c r="R7" s="38">
        <f>ROUND(_xlfn.XLOOKUP($B7,'[1]Detalle de Ingresos'!$D$49:$AS$49,'[1]Detalle de Ingresos'!$D$46:$AS$46),0)</f>
        <v>66809</v>
      </c>
      <c r="S7" s="38">
        <f>SUM(O7:R7)</f>
        <v>72325899</v>
      </c>
      <c r="T7" s="37">
        <f>J7-S7</f>
        <v>-51975804</v>
      </c>
    </row>
    <row r="8" spans="2:20" ht="15.75" thickBot="1" x14ac:dyDescent="0.3">
      <c r="B8" s="7" t="s">
        <v>11</v>
      </c>
      <c r="C8" s="13" t="s">
        <v>12</v>
      </c>
      <c r="D8" s="14" t="s">
        <v>13</v>
      </c>
      <c r="E8" s="15">
        <v>2008</v>
      </c>
      <c r="F8" s="15">
        <v>2008</v>
      </c>
      <c r="G8" s="16">
        <v>41974</v>
      </c>
      <c r="H8" s="39">
        <f>VLOOKUP($B8,'Ingresos PR'!$B$6:$K$48,7,FALSE)</f>
        <v>27119946</v>
      </c>
      <c r="I8" s="39">
        <f>ROUND(INDEX('Ingresos Arrendamiento'!$BP$6:$BS$51,MATCH($B8,'Ingresos Arrendamiento'!$B$6:$B$51,0),MATCH(I$4,'Ingresos Arrendamiento'!$BP$5:$BS$5,0)),0)</f>
        <v>21487219</v>
      </c>
      <c r="J8" s="39">
        <f>VLOOKUP($B8,'Ingresos PR'!$B$6:$K$48,9,FALSE)</f>
        <v>27119946</v>
      </c>
      <c r="K8" s="39">
        <f>ROUND(INDEX('Ingresos Arrendamiento'!$BV$6:$BY$51,MATCH($B8,'Ingresos Arrendamiento'!$B$6:$B$51,0),MATCH(K$4,'Ingresos Arrendamiento'!$BV$5:$BY$5,0)),0)</f>
        <v>21487219</v>
      </c>
      <c r="L8" s="39">
        <f>VLOOKUP($B8,'Ingresos PR'!$B$6:$K$48,10,FALSE)</f>
        <v>23019242</v>
      </c>
      <c r="M8" s="39">
        <f>ROUND(INDEX(NOI!$BC$6:$BF$48,MATCH($B8,NOI!$B$6:$B$48,0),MATCH(M$4,NOI!$BC$5:$BF$5,0)),0)</f>
        <v>16937387</v>
      </c>
      <c r="O8" s="39">
        <f>ROUND(_xlfn.XLOOKUP($B8,'[1]Detalle de Ingresos'!$D$49:$AS$49,'[1]Detalle de Ingresos'!$D$43:$AS$43),0)</f>
        <v>76727681</v>
      </c>
      <c r="P8" s="39">
        <f>ROUND(_xlfn.XLOOKUP($B8,'[1]Detalle de Ingresos'!$D$49:$AS$49,'[1]Detalle de Ingresos'!$D$44:$AS$44),0)-1</f>
        <v>9050466</v>
      </c>
      <c r="Q8" s="39">
        <f>ROUND(_xlfn.XLOOKUP($B8,'[1]Detalle de Ingresos'!$D$49:$AS$49,'[1]Detalle de Ingresos'!$D$45:$AS$45),0)</f>
        <v>9895893</v>
      </c>
      <c r="R8" s="39">
        <f>ROUND(_xlfn.XLOOKUP($B8,'[1]Detalle de Ingresos'!$D$49:$AS$49,'[1]Detalle de Ingresos'!$D$46:$AS$46),0)</f>
        <v>0</v>
      </c>
      <c r="S8" s="39">
        <f t="shared" ref="S8:S39" si="0">SUM(O8:R8)</f>
        <v>95674040</v>
      </c>
      <c r="T8" s="37">
        <f t="shared" ref="T8:T40" si="1">J8-S8</f>
        <v>-68554094</v>
      </c>
    </row>
    <row r="9" spans="2:20" ht="15.75" thickBot="1" x14ac:dyDescent="0.3">
      <c r="B9" s="7" t="s">
        <v>14</v>
      </c>
      <c r="C9" s="8" t="s">
        <v>15</v>
      </c>
      <c r="D9" s="9" t="s">
        <v>16</v>
      </c>
      <c r="E9" s="10">
        <v>2005</v>
      </c>
      <c r="F9" s="10">
        <v>2005</v>
      </c>
      <c r="G9" s="11">
        <v>41395</v>
      </c>
      <c r="H9" s="38">
        <f>VLOOKUP($B9,'Ingresos PR'!$B$6:$K$48,7,FALSE)</f>
        <v>23396194</v>
      </c>
      <c r="I9" s="38">
        <f>ROUND(INDEX('Ingresos Arrendamiento'!$BP$6:$BS$51,MATCH($B9,'Ingresos Arrendamiento'!$B$6:$B$51,0),MATCH(I$4,'Ingresos Arrendamiento'!$BP$5:$BS$5,0)),0)</f>
        <v>21497745</v>
      </c>
      <c r="J9" s="38">
        <f>VLOOKUP($B9,'Ingresos PR'!$B$6:$K$48,9,FALSE)</f>
        <v>23396194</v>
      </c>
      <c r="K9" s="38">
        <f>ROUND(INDEX('Ingresos Arrendamiento'!$BV$6:$BY$51,MATCH($B9,'Ingresos Arrendamiento'!$B$6:$B$51,0),MATCH(K$4,'Ingresos Arrendamiento'!$BV$5:$BY$5,0)),0)</f>
        <v>21497745</v>
      </c>
      <c r="L9" s="38">
        <f>VLOOKUP($B9,'Ingresos PR'!$B$6:$K$48,10,FALSE)</f>
        <v>18759399</v>
      </c>
      <c r="M9" s="38">
        <f>ROUND(INDEX(NOI!$BC$6:$BF$48,MATCH($B9,NOI!$B$6:$B$48,0),MATCH(M$4,NOI!$BC$5:$BF$5,0)),0)</f>
        <v>16397348</v>
      </c>
      <c r="O9" s="38">
        <f>ROUND(_xlfn.XLOOKUP($B9,'[1]Detalle de Ingresos'!$D$49:$AS$49,'[1]Detalle de Ingresos'!$D$43:$AS$43),0)-1</f>
        <v>68735595</v>
      </c>
      <c r="P9" s="38">
        <f>ROUND(_xlfn.XLOOKUP($B9,'[1]Detalle de Ingresos'!$D$49:$AS$49,'[1]Detalle de Ingresos'!$D$44:$AS$44),0)</f>
        <v>8120332</v>
      </c>
      <c r="Q9" s="38">
        <f>ROUND(_xlfn.XLOOKUP($B9,'[1]Detalle de Ingresos'!$D$49:$AS$49,'[1]Detalle de Ingresos'!$D$45:$AS$45),0)</f>
        <v>0</v>
      </c>
      <c r="R9" s="38">
        <f>ROUND(_xlfn.XLOOKUP($B9,'[1]Detalle de Ingresos'!$D$49:$AS$49,'[1]Detalle de Ingresos'!$D$46:$AS$46),0)</f>
        <v>1951507</v>
      </c>
      <c r="S9" s="38">
        <f t="shared" si="0"/>
        <v>78807434</v>
      </c>
      <c r="T9" s="37">
        <f t="shared" si="1"/>
        <v>-55411240</v>
      </c>
    </row>
    <row r="10" spans="2:20" ht="15.75" thickBot="1" x14ac:dyDescent="0.3">
      <c r="B10" s="7" t="s">
        <v>17</v>
      </c>
      <c r="C10" s="13" t="s">
        <v>18</v>
      </c>
      <c r="D10" s="14" t="s">
        <v>19</v>
      </c>
      <c r="E10" s="15">
        <v>2005</v>
      </c>
      <c r="F10" s="15">
        <v>2006</v>
      </c>
      <c r="G10" s="16">
        <v>41214</v>
      </c>
      <c r="H10" s="39">
        <f>VLOOKUP($B10,'Ingresos PR'!$B$6:$K$48,7,FALSE)</f>
        <v>19731004</v>
      </c>
      <c r="I10" s="39">
        <f>ROUND(INDEX('Ingresos Arrendamiento'!$BP$6:$BS$51,MATCH($B10,'Ingresos Arrendamiento'!$B$6:$B$51,0),MATCH(I$4,'Ingresos Arrendamiento'!$BP$5:$BS$5,0)),0)</f>
        <v>14862960</v>
      </c>
      <c r="J10" s="39">
        <f>VLOOKUP($B10,'Ingresos PR'!$B$6:$K$48,9,FALSE)</f>
        <v>19731004</v>
      </c>
      <c r="K10" s="39">
        <f>ROUND(INDEX('Ingresos Arrendamiento'!$BV$6:$BY$51,MATCH($B10,'Ingresos Arrendamiento'!$B$6:$B$51,0),MATCH(K$4,'Ingresos Arrendamiento'!$BV$5:$BY$5,0)),0)</f>
        <v>14862960</v>
      </c>
      <c r="L10" s="39">
        <f>VLOOKUP($B10,'Ingresos PR'!$B$6:$K$48,10,FALSE)</f>
        <v>14533695</v>
      </c>
      <c r="M10" s="39">
        <f>ROUND(INDEX(NOI!$BC$6:$BF$48,MATCH($B10,NOI!$B$6:$B$48,0),MATCH(M$4,NOI!$BC$5:$BF$5,0)),0)</f>
        <v>10481209</v>
      </c>
      <c r="O10" s="39">
        <f>ROUND(_xlfn.XLOOKUP($B10,'[1]Detalle de Ingresos'!$D$49:$AS$49,'[1]Detalle de Ingresos'!$D$43:$AS$43),0)-1</f>
        <v>58721637</v>
      </c>
      <c r="P10" s="39">
        <f>ROUND(_xlfn.XLOOKUP($B10,'[1]Detalle de Ingresos'!$D$49:$AS$49,'[1]Detalle de Ingresos'!$D$44:$AS$44),0)</f>
        <v>9347817</v>
      </c>
      <c r="Q10" s="39">
        <f>ROUND(_xlfn.XLOOKUP($B10,'[1]Detalle de Ingresos'!$D$49:$AS$49,'[1]Detalle de Ingresos'!$D$45:$AS$45),0)</f>
        <v>3261913</v>
      </c>
      <c r="R10" s="39">
        <f>ROUND(_xlfn.XLOOKUP($B10,'[1]Detalle de Ingresos'!$D$49:$AS$49,'[1]Detalle de Ingresos'!$D$46:$AS$46),0)</f>
        <v>450577</v>
      </c>
      <c r="S10" s="39">
        <f t="shared" si="0"/>
        <v>71781944</v>
      </c>
      <c r="T10" s="37">
        <f t="shared" si="1"/>
        <v>-52050940</v>
      </c>
    </row>
    <row r="11" spans="2:20" ht="15.75" thickBot="1" x14ac:dyDescent="0.3">
      <c r="B11" s="7" t="s">
        <v>20</v>
      </c>
      <c r="C11" s="8" t="s">
        <v>21</v>
      </c>
      <c r="D11" s="9" t="s">
        <v>22</v>
      </c>
      <c r="E11" s="10">
        <v>2008</v>
      </c>
      <c r="F11" s="10">
        <v>2009</v>
      </c>
      <c r="G11" s="11">
        <v>41395</v>
      </c>
      <c r="H11" s="38">
        <f>VLOOKUP($B11,'Ingresos PR'!$B$6:$K$48,7,FALSE)</f>
        <v>7392216</v>
      </c>
      <c r="I11" s="38">
        <f>ROUND(INDEX('Ingresos Arrendamiento'!$BP$6:$BS$51,MATCH($B11,'Ingresos Arrendamiento'!$B$6:$B$51,0),MATCH(I$4,'Ingresos Arrendamiento'!$BP$5:$BS$5,0)),0)</f>
        <v>6522032</v>
      </c>
      <c r="J11" s="38">
        <f>VLOOKUP($B11,'Ingresos PR'!$B$6:$K$48,9,FALSE)</f>
        <v>7392216</v>
      </c>
      <c r="K11" s="38">
        <f>ROUND(INDEX('Ingresos Arrendamiento'!$BV$6:$BY$51,MATCH($B11,'Ingresos Arrendamiento'!$B$6:$B$51,0),MATCH(K$4,'Ingresos Arrendamiento'!$BV$5:$BY$5,0)),0)</f>
        <v>6522032</v>
      </c>
      <c r="L11" s="38">
        <f>VLOOKUP($B11,'Ingresos PR'!$B$6:$K$48,10,FALSE)</f>
        <v>3631532</v>
      </c>
      <c r="M11" s="38">
        <f>ROUND(INDEX(NOI!$BC$6:$BF$48,MATCH($B11,NOI!$B$6:$B$48,0),MATCH(M$4,NOI!$BC$5:$BF$5,0)),0)</f>
        <v>2951215</v>
      </c>
      <c r="O11" s="38">
        <f>ROUND(_xlfn.XLOOKUP($B11,'[1]Detalle de Ingresos'!$D$49:$AS$49,'[1]Detalle de Ingresos'!$D$43:$AS$43),0)-1</f>
        <v>24077769</v>
      </c>
      <c r="P11" s="38">
        <f>ROUND(_xlfn.XLOOKUP($B11,'[1]Detalle de Ingresos'!$D$49:$AS$49,'[1]Detalle de Ingresos'!$D$44:$AS$44),0)</f>
        <v>2942752</v>
      </c>
      <c r="Q11" s="38">
        <f>ROUND(_xlfn.XLOOKUP($B11,'[1]Detalle de Ingresos'!$D$49:$AS$49,'[1]Detalle de Ingresos'!$D$45:$AS$45),0)</f>
        <v>0</v>
      </c>
      <c r="R11" s="38">
        <f>ROUND(_xlfn.XLOOKUP($B11,'[1]Detalle de Ingresos'!$D$49:$AS$49,'[1]Detalle de Ingresos'!$D$46:$AS$46),0)</f>
        <v>112350</v>
      </c>
      <c r="S11" s="38">
        <f t="shared" si="0"/>
        <v>27132871</v>
      </c>
      <c r="T11" s="37">
        <f t="shared" si="1"/>
        <v>-19740655</v>
      </c>
    </row>
    <row r="12" spans="2:20" ht="15.75" thickBot="1" x14ac:dyDescent="0.3">
      <c r="B12" s="7" t="s">
        <v>23</v>
      </c>
      <c r="C12" s="13" t="s">
        <v>24</v>
      </c>
      <c r="D12" s="14" t="s">
        <v>25</v>
      </c>
      <c r="E12" s="15">
        <v>2006</v>
      </c>
      <c r="F12" s="15">
        <v>2006</v>
      </c>
      <c r="G12" s="16">
        <v>41548</v>
      </c>
      <c r="H12" s="39">
        <f>VLOOKUP($B12,'Ingresos PR'!$B$6:$K$48,7,FALSE)</f>
        <v>17853419</v>
      </c>
      <c r="I12" s="39">
        <f>ROUND(INDEX('Ingresos Arrendamiento'!$BP$6:$BS$51,MATCH($B12,'Ingresos Arrendamiento'!$B$6:$B$51,0),MATCH(I$4,'Ingresos Arrendamiento'!$BP$5:$BS$5,0)),0)</f>
        <v>14129211</v>
      </c>
      <c r="J12" s="39">
        <f>VLOOKUP($B12,'Ingresos PR'!$B$6:$K$48,9,FALSE)</f>
        <v>17853419</v>
      </c>
      <c r="K12" s="39">
        <f>ROUND(INDEX('Ingresos Arrendamiento'!$BV$6:$BY$51,MATCH($B12,'Ingresos Arrendamiento'!$B$6:$B$51,0),MATCH(K$4,'Ingresos Arrendamiento'!$BV$5:$BY$5,0)),0)</f>
        <v>14129211</v>
      </c>
      <c r="L12" s="39">
        <f>VLOOKUP($B12,'Ingresos PR'!$B$6:$K$48,10,FALSE)</f>
        <v>14677930</v>
      </c>
      <c r="M12" s="39">
        <f>ROUND(INDEX(NOI!$BC$6:$BF$48,MATCH($B12,NOI!$B$6:$B$48,0),MATCH(M$4,NOI!$BC$5:$BF$5,0)),0)</f>
        <v>11023348</v>
      </c>
      <c r="O12" s="39">
        <f>ROUND(_xlfn.XLOOKUP($B12,'[1]Detalle de Ingresos'!$D$49:$AS$49,'[1]Detalle de Ingresos'!$D$43:$AS$43),0)+1</f>
        <v>53443061</v>
      </c>
      <c r="P12" s="39">
        <f>ROUND(_xlfn.XLOOKUP($B12,'[1]Detalle de Ingresos'!$D$49:$AS$49,'[1]Detalle de Ingresos'!$D$44:$AS$44),0)</f>
        <v>6407725</v>
      </c>
      <c r="Q12" s="39">
        <f>ROUND(_xlfn.XLOOKUP($B12,'[1]Detalle de Ingresos'!$D$49:$AS$49,'[1]Detalle de Ingresos'!$D$45:$AS$45),0)</f>
        <v>0</v>
      </c>
      <c r="R12" s="39">
        <f>ROUND(_xlfn.XLOOKUP($B12,'[1]Detalle de Ingresos'!$D$49:$AS$49,'[1]Detalle de Ingresos'!$D$46:$AS$46),0)</f>
        <v>2676</v>
      </c>
      <c r="S12" s="39">
        <f t="shared" si="0"/>
        <v>59853462</v>
      </c>
      <c r="T12" s="37">
        <f t="shared" si="1"/>
        <v>-42000043</v>
      </c>
    </row>
    <row r="13" spans="2:20" ht="15.75" thickBot="1" x14ac:dyDescent="0.3">
      <c r="B13" s="7" t="s">
        <v>26</v>
      </c>
      <c r="C13" s="8" t="s">
        <v>27</v>
      </c>
      <c r="D13" s="9" t="s">
        <v>28</v>
      </c>
      <c r="E13" s="10">
        <v>2004</v>
      </c>
      <c r="F13" s="10">
        <v>2006</v>
      </c>
      <c r="G13" s="11">
        <v>41548</v>
      </c>
      <c r="H13" s="38">
        <f>VLOOKUP($B13,'Ingresos PR'!$B$6:$K$48,7,FALSE)</f>
        <v>20331560</v>
      </c>
      <c r="I13" s="38">
        <f>ROUND(INDEX('Ingresos Arrendamiento'!$BP$6:$BS$51,MATCH($B13,'Ingresos Arrendamiento'!$B$6:$B$51,0),MATCH(I$4,'Ingresos Arrendamiento'!$BP$5:$BS$5,0)),0)</f>
        <v>16060600</v>
      </c>
      <c r="J13" s="38">
        <f>VLOOKUP($B13,'Ingresos PR'!$B$6:$K$48,9,FALSE)</f>
        <v>20331560</v>
      </c>
      <c r="K13" s="38">
        <f>ROUND(INDEX('Ingresos Arrendamiento'!$BV$6:$BY$51,MATCH($B13,'Ingresos Arrendamiento'!$B$6:$B$51,0),MATCH(K$4,'Ingresos Arrendamiento'!$BV$5:$BY$5,0)),0)</f>
        <v>16060600</v>
      </c>
      <c r="L13" s="38">
        <f>VLOOKUP($B13,'Ingresos PR'!$B$6:$K$48,10,FALSE)</f>
        <v>15696460</v>
      </c>
      <c r="M13" s="38">
        <f>ROUND(INDEX(NOI!$BC$6:$BF$48,MATCH($B13,NOI!$B$6:$B$48,0),MATCH(M$4,NOI!$BC$5:$BF$5,0)),0)</f>
        <v>11889473</v>
      </c>
      <c r="O13" s="38">
        <f>ROUND(_xlfn.XLOOKUP($B13,'[1]Detalle de Ingresos'!$D$49:$AS$49,'[1]Detalle de Ingresos'!$D$43:$AS$43),0)</f>
        <v>60460299</v>
      </c>
      <c r="P13" s="38">
        <f>ROUND(_xlfn.XLOOKUP($B13,'[1]Detalle de Ingresos'!$D$49:$AS$49,'[1]Detalle de Ingresos'!$D$44:$AS$44),0)</f>
        <v>12496361</v>
      </c>
      <c r="Q13" s="38">
        <f>ROUND(_xlfn.XLOOKUP($B13,'[1]Detalle de Ingresos'!$D$49:$AS$49,'[1]Detalle de Ingresos'!$D$45:$AS$45),0)</f>
        <v>0</v>
      </c>
      <c r="R13" s="38">
        <f>ROUND(_xlfn.XLOOKUP($B13,'[1]Detalle de Ingresos'!$D$49:$AS$49,'[1]Detalle de Ingresos'!$D$46:$AS$46),0)</f>
        <v>14849</v>
      </c>
      <c r="S13" s="38">
        <f t="shared" si="0"/>
        <v>72971509</v>
      </c>
      <c r="T13" s="37">
        <f t="shared" si="1"/>
        <v>-52639949</v>
      </c>
    </row>
    <row r="14" spans="2:20" ht="15.75" thickBot="1" x14ac:dyDescent="0.3">
      <c r="B14" s="7" t="s">
        <v>29</v>
      </c>
      <c r="C14" s="13" t="s">
        <v>30</v>
      </c>
      <c r="D14" s="14" t="s">
        <v>19</v>
      </c>
      <c r="E14" s="15">
        <v>2002</v>
      </c>
      <c r="F14" s="15">
        <v>2003</v>
      </c>
      <c r="G14" s="16">
        <v>41395</v>
      </c>
      <c r="H14" s="39">
        <f>VLOOKUP($B14,'Ingresos PR'!$B$6:$K$48,7,FALSE)</f>
        <v>19081175</v>
      </c>
      <c r="I14" s="39">
        <f>ROUND(INDEX('Ingresos Arrendamiento'!$BP$6:$BS$51,MATCH($B14,'Ingresos Arrendamiento'!$B$6:$B$51,0),MATCH(I$4,'Ingresos Arrendamiento'!$BP$5:$BS$5,0)),0)</f>
        <v>17363723</v>
      </c>
      <c r="J14" s="39">
        <f>VLOOKUP($B14,'Ingresos PR'!$B$6:$K$48,9,FALSE)</f>
        <v>19081175</v>
      </c>
      <c r="K14" s="39">
        <f>ROUND(INDEX('Ingresos Arrendamiento'!$BV$6:$BY$51,MATCH($B14,'Ingresos Arrendamiento'!$B$6:$B$51,0),MATCH(K$4,'Ingresos Arrendamiento'!$BV$5:$BY$5,0)),0)</f>
        <v>17363723</v>
      </c>
      <c r="L14" s="39">
        <f>VLOOKUP($B14,'Ingresos PR'!$B$6:$K$48,10,FALSE)</f>
        <v>16207132</v>
      </c>
      <c r="M14" s="39">
        <f>ROUND(INDEX(NOI!$BC$6:$BF$48,MATCH($B14,NOI!$B$6:$B$48,0),MATCH(M$4,NOI!$BC$5:$BF$5,0)),0)</f>
        <v>14031298</v>
      </c>
      <c r="O14" s="39">
        <f>ROUND(_xlfn.XLOOKUP($B14,'[1]Detalle de Ingresos'!$D$49:$AS$49,'[1]Detalle de Ingresos'!$D$43:$AS$43),0)</f>
        <v>55748656</v>
      </c>
      <c r="P14" s="39">
        <f>ROUND(_xlfn.XLOOKUP($B14,'[1]Detalle de Ingresos'!$D$49:$AS$49,'[1]Detalle de Ingresos'!$D$44:$AS$44),0)</f>
        <v>7391519</v>
      </c>
      <c r="Q14" s="39">
        <f>ROUND(_xlfn.XLOOKUP($B14,'[1]Detalle de Ingresos'!$D$49:$AS$49,'[1]Detalle de Ingresos'!$D$45:$AS$45),0)</f>
        <v>0</v>
      </c>
      <c r="R14" s="39">
        <f>ROUND(_xlfn.XLOOKUP($B14,'[1]Detalle de Ingresos'!$D$49:$AS$49,'[1]Detalle de Ingresos'!$D$46:$AS$46),0)</f>
        <v>145444</v>
      </c>
      <c r="S14" s="39">
        <f t="shared" si="0"/>
        <v>63285619</v>
      </c>
      <c r="T14" s="37">
        <f t="shared" si="1"/>
        <v>-44204444</v>
      </c>
    </row>
    <row r="15" spans="2:20" ht="15.75" thickBot="1" x14ac:dyDescent="0.3">
      <c r="B15" s="7" t="s">
        <v>31</v>
      </c>
      <c r="C15" s="8" t="s">
        <v>32</v>
      </c>
      <c r="D15" s="9" t="s">
        <v>16</v>
      </c>
      <c r="E15" s="10">
        <v>2007</v>
      </c>
      <c r="F15" s="10">
        <v>2008</v>
      </c>
      <c r="G15" s="11">
        <v>41974</v>
      </c>
      <c r="H15" s="38">
        <f>VLOOKUP($B15,'Ingresos PR'!$B$6:$K$48,7,FALSE)</f>
        <v>19750676</v>
      </c>
      <c r="I15" s="38">
        <f>ROUND(INDEX('Ingresos Arrendamiento'!$BP$6:$BS$51,MATCH($B15,'Ingresos Arrendamiento'!$B$6:$B$51,0),MATCH(I$4,'Ingresos Arrendamiento'!$BP$5:$BS$5,0)),0)</f>
        <v>15335502</v>
      </c>
      <c r="J15" s="38">
        <f>VLOOKUP($B15,'Ingresos PR'!$B$6:$K$48,9,FALSE)</f>
        <v>19750676</v>
      </c>
      <c r="K15" s="38">
        <f>ROUND(INDEX('Ingresos Arrendamiento'!$BV$6:$BY$51,MATCH($B15,'Ingresos Arrendamiento'!$B$6:$B$51,0),MATCH(K$4,'Ingresos Arrendamiento'!$BV$5:$BY$5,0)),0)</f>
        <v>15335502</v>
      </c>
      <c r="L15" s="38">
        <f>VLOOKUP($B15,'Ingresos PR'!$B$6:$K$48,10,FALSE)</f>
        <v>14390989</v>
      </c>
      <c r="M15" s="38">
        <f>ROUND(INDEX(NOI!$BC$6:$BF$48,MATCH($B15,NOI!$B$6:$B$48,0),MATCH(M$4,NOI!$BC$5:$BF$5,0)),0)</f>
        <v>11775710</v>
      </c>
      <c r="O15" s="38">
        <f>ROUND(_xlfn.XLOOKUP($B15,'[1]Detalle de Ingresos'!$D$49:$AS$49,'[1]Detalle de Ingresos'!$D$43:$AS$43),0)</f>
        <v>61346184</v>
      </c>
      <c r="P15" s="38">
        <f>ROUND(_xlfn.XLOOKUP($B15,'[1]Detalle de Ingresos'!$D$49:$AS$49,'[1]Detalle de Ingresos'!$D$44:$AS$44),0)</f>
        <v>9962150</v>
      </c>
      <c r="Q15" s="38">
        <f>ROUND(_xlfn.XLOOKUP($B15,'[1]Detalle de Ingresos'!$D$49:$AS$49,'[1]Detalle de Ingresos'!$D$45:$AS$45),0)</f>
        <v>0</v>
      </c>
      <c r="R15" s="38">
        <f>ROUND(_xlfn.XLOOKUP($B15,'[1]Detalle de Ingresos'!$D$49:$AS$49,'[1]Detalle de Ingresos'!$D$46:$AS$46),0)</f>
        <v>14687</v>
      </c>
      <c r="S15" s="38">
        <f t="shared" si="0"/>
        <v>71323021</v>
      </c>
      <c r="T15" s="37">
        <f t="shared" si="1"/>
        <v>-51572345</v>
      </c>
    </row>
    <row r="16" spans="2:20" ht="15.75" thickBot="1" x14ac:dyDescent="0.3">
      <c r="B16" s="7" t="s">
        <v>33</v>
      </c>
      <c r="C16" s="13" t="s">
        <v>34</v>
      </c>
      <c r="D16" s="14" t="s">
        <v>25</v>
      </c>
      <c r="E16" s="15">
        <v>1999</v>
      </c>
      <c r="F16" s="15">
        <v>2000</v>
      </c>
      <c r="G16" s="16">
        <v>41395</v>
      </c>
      <c r="H16" s="39">
        <f>VLOOKUP($B16,'Ingresos PR'!$B$6:$K$48,7,FALSE)</f>
        <v>12244547</v>
      </c>
      <c r="I16" s="39">
        <f>ROUND(INDEX('Ingresos Arrendamiento'!$BP$6:$BS$51,MATCH($B16,'Ingresos Arrendamiento'!$B$6:$B$51,0),MATCH(I$4,'Ingresos Arrendamiento'!$BP$5:$BS$5,0)),0)</f>
        <v>12136284</v>
      </c>
      <c r="J16" s="39">
        <f>VLOOKUP($B16,'Ingresos PR'!$B$6:$K$48,9,FALSE)</f>
        <v>12244547</v>
      </c>
      <c r="K16" s="39">
        <f>ROUND(INDEX('Ingresos Arrendamiento'!$BV$6:$BY$51,MATCH($B16,'Ingresos Arrendamiento'!$B$6:$B$51,0),MATCH(K$4,'Ingresos Arrendamiento'!$BV$5:$BY$5,0)),0)</f>
        <v>12136284</v>
      </c>
      <c r="L16" s="39">
        <f>VLOOKUP($B16,'Ingresos PR'!$B$6:$K$48,10,FALSE)</f>
        <v>10015084</v>
      </c>
      <c r="M16" s="39">
        <f>ROUND(INDEX(NOI!$BC$6:$BF$48,MATCH($B16,NOI!$B$6:$B$48,0),MATCH(M$4,NOI!$BC$5:$BF$5,0)),0)</f>
        <v>9009222</v>
      </c>
      <c r="O16" s="39">
        <f>ROUND(_xlfn.XLOOKUP($B16,'[1]Detalle de Ingresos'!$D$49:$AS$49,'[1]Detalle de Ingresos'!$D$43:$AS$43),0)+1</f>
        <v>42252094</v>
      </c>
      <c r="P16" s="39">
        <f>ROUND(_xlfn.XLOOKUP($B16,'[1]Detalle de Ingresos'!$D$49:$AS$49,'[1]Detalle de Ingresos'!$D$44:$AS$44),0)</f>
        <v>4838245</v>
      </c>
      <c r="Q16" s="39">
        <f>ROUND(_xlfn.XLOOKUP($B16,'[1]Detalle de Ingresos'!$D$49:$AS$49,'[1]Detalle de Ingresos'!$D$45:$AS$45),0)</f>
        <v>0</v>
      </c>
      <c r="R16" s="39">
        <f>ROUND(_xlfn.XLOOKUP($B16,'[1]Detalle de Ingresos'!$D$49:$AS$49,'[1]Detalle de Ingresos'!$D$46:$AS$46),0)</f>
        <v>115553</v>
      </c>
      <c r="S16" s="39">
        <f t="shared" si="0"/>
        <v>47205892</v>
      </c>
      <c r="T16" s="37">
        <f t="shared" si="1"/>
        <v>-34961345</v>
      </c>
    </row>
    <row r="17" spans="2:20" ht="15.75" thickBot="1" x14ac:dyDescent="0.3">
      <c r="B17" s="7" t="s">
        <v>35</v>
      </c>
      <c r="C17" s="8" t="s">
        <v>36</v>
      </c>
      <c r="D17" s="9" t="s">
        <v>19</v>
      </c>
      <c r="E17" s="10">
        <v>2006</v>
      </c>
      <c r="F17" s="10">
        <v>2007</v>
      </c>
      <c r="G17" s="11">
        <v>41395</v>
      </c>
      <c r="H17" s="38">
        <f>VLOOKUP($B17,'Ingresos PR'!$B$6:$K$48,7,FALSE)</f>
        <v>10719648</v>
      </c>
      <c r="I17" s="38">
        <f>ROUND(INDEX('Ingresos Arrendamiento'!$BP$6:$BS$51,MATCH($B17,'Ingresos Arrendamiento'!$B$6:$B$51,0),MATCH(I$4,'Ingresos Arrendamiento'!$BP$5:$BS$5,0)),0)</f>
        <v>9936828</v>
      </c>
      <c r="J17" s="38">
        <f>VLOOKUP($B17,'Ingresos PR'!$B$6:$K$48,9,FALSE)</f>
        <v>10719648</v>
      </c>
      <c r="K17" s="38">
        <f>ROUND(INDEX('Ingresos Arrendamiento'!$BV$6:$BY$51,MATCH($B17,'Ingresos Arrendamiento'!$B$6:$B$51,0),MATCH(K$4,'Ingresos Arrendamiento'!$BV$5:$BY$5,0)),0)</f>
        <v>9936828</v>
      </c>
      <c r="L17" s="38">
        <f>VLOOKUP($B17,'Ingresos PR'!$B$6:$K$48,10,FALSE)</f>
        <v>7367175</v>
      </c>
      <c r="M17" s="38">
        <f>ROUND(INDEX(NOI!$BC$6:$BF$48,MATCH($B17,NOI!$B$6:$B$48,0),MATCH(M$4,NOI!$BC$5:$BF$5,0)),0)</f>
        <v>6905136</v>
      </c>
      <c r="O17" s="38">
        <f>ROUND(_xlfn.XLOOKUP($B17,'[1]Detalle de Ingresos'!$D$49:$AS$49,'[1]Detalle de Ingresos'!$D$43:$AS$43),0)</f>
        <v>35558734</v>
      </c>
      <c r="P17" s="38">
        <f>ROUND(_xlfn.XLOOKUP($B17,'[1]Detalle de Ingresos'!$D$49:$AS$49,'[1]Detalle de Ingresos'!$D$44:$AS$44),0)</f>
        <v>4356764</v>
      </c>
      <c r="Q17" s="38">
        <f>ROUND(_xlfn.XLOOKUP($B17,'[1]Detalle de Ingresos'!$D$49:$AS$49,'[1]Detalle de Ingresos'!$D$45:$AS$45),0)</f>
        <v>0</v>
      </c>
      <c r="R17" s="38">
        <f>ROUND(_xlfn.XLOOKUP($B17,'[1]Detalle de Ingresos'!$D$49:$AS$49,'[1]Detalle de Ingresos'!$D$46:$AS$46),0)</f>
        <v>960089</v>
      </c>
      <c r="S17" s="38">
        <f t="shared" si="0"/>
        <v>40875587</v>
      </c>
      <c r="T17" s="37">
        <f t="shared" si="1"/>
        <v>-30155939</v>
      </c>
    </row>
    <row r="18" spans="2:20" ht="15.75" thickBot="1" x14ac:dyDescent="0.3">
      <c r="B18" s="7" t="s">
        <v>37</v>
      </c>
      <c r="C18" s="13" t="s">
        <v>38</v>
      </c>
      <c r="D18" s="14" t="s">
        <v>39</v>
      </c>
      <c r="E18" s="15">
        <v>2008</v>
      </c>
      <c r="F18" s="15">
        <v>2008</v>
      </c>
      <c r="G18" s="16">
        <v>41974</v>
      </c>
      <c r="H18" s="39">
        <f>VLOOKUP($B18,'Ingresos PR'!$B$6:$K$48,7,FALSE)</f>
        <v>14651253</v>
      </c>
      <c r="I18" s="39">
        <f>ROUND(INDEX('Ingresos Arrendamiento'!$BP$6:$BS$51,MATCH($B18,'Ingresos Arrendamiento'!$B$6:$B$51,0),MATCH(I$4,'Ingresos Arrendamiento'!$BP$5:$BS$5,0)),0)</f>
        <v>11593464</v>
      </c>
      <c r="J18" s="39">
        <f>VLOOKUP($B18,'Ingresos PR'!$B$6:$K$48,9,FALSE)</f>
        <v>14651253</v>
      </c>
      <c r="K18" s="39">
        <f>ROUND(INDEX('Ingresos Arrendamiento'!$BV$6:$BY$51,MATCH($B18,'Ingresos Arrendamiento'!$B$6:$B$51,0),MATCH(K$4,'Ingresos Arrendamiento'!$BV$5:$BY$5,0)),0)</f>
        <v>11593464</v>
      </c>
      <c r="L18" s="39">
        <f>VLOOKUP($B18,'Ingresos PR'!$B$6:$K$48,10,FALSE)</f>
        <v>12503477</v>
      </c>
      <c r="M18" s="39">
        <f>ROUND(INDEX(NOI!$BC$6:$BF$48,MATCH($B18,NOI!$B$6:$B$48,0),MATCH(M$4,NOI!$BC$5:$BF$5,0)),0)</f>
        <v>9120257</v>
      </c>
      <c r="O18" s="39">
        <f>ROUND(_xlfn.XLOOKUP($B18,'[1]Detalle de Ingresos'!$D$49:$AS$49,'[1]Detalle de Ingresos'!$D$43:$AS$43),0)</f>
        <v>46279213</v>
      </c>
      <c r="P18" s="39">
        <f>ROUND(_xlfn.XLOOKUP($B18,'[1]Detalle de Ingresos'!$D$49:$AS$49,'[1]Detalle de Ingresos'!$D$44:$AS$44),0)</f>
        <v>5728837</v>
      </c>
      <c r="Q18" s="39">
        <f>ROUND(_xlfn.XLOOKUP($B18,'[1]Detalle de Ingresos'!$D$49:$AS$49,'[1]Detalle de Ingresos'!$D$45:$AS$45),0)</f>
        <v>0</v>
      </c>
      <c r="R18" s="39">
        <f>ROUND(_xlfn.XLOOKUP($B18,'[1]Detalle de Ingresos'!$D$49:$AS$49,'[1]Detalle de Ingresos'!$D$46:$AS$46),0)</f>
        <v>-65533</v>
      </c>
      <c r="S18" s="39">
        <f t="shared" si="0"/>
        <v>51942517</v>
      </c>
      <c r="T18" s="37">
        <f t="shared" si="1"/>
        <v>-37291264</v>
      </c>
    </row>
    <row r="19" spans="2:20" ht="15.75" thickBot="1" x14ac:dyDescent="0.3">
      <c r="B19" s="7" t="s">
        <v>40</v>
      </c>
      <c r="C19" s="8" t="s">
        <v>41</v>
      </c>
      <c r="D19" s="9" t="s">
        <v>42</v>
      </c>
      <c r="E19" s="10">
        <v>2007</v>
      </c>
      <c r="F19" s="10">
        <v>2008</v>
      </c>
      <c r="G19" s="11">
        <v>41395</v>
      </c>
      <c r="H19" s="38">
        <f>VLOOKUP($B19,'Ingresos PR'!$B$6:$K$48,7,FALSE)</f>
        <v>12112951</v>
      </c>
      <c r="I19" s="38">
        <f>ROUND(INDEX('Ingresos Arrendamiento'!$BP$6:$BS$51,MATCH($B19,'Ingresos Arrendamiento'!$B$6:$B$51,0),MATCH(I$4,'Ingresos Arrendamiento'!$BP$5:$BS$5,0)),0)</f>
        <v>10165278</v>
      </c>
      <c r="J19" s="38">
        <f>VLOOKUP($B19,'Ingresos PR'!$B$6:$K$48,9,FALSE)</f>
        <v>12112951</v>
      </c>
      <c r="K19" s="38">
        <f>ROUND(INDEX('Ingresos Arrendamiento'!$BV$6:$BY$51,MATCH($B19,'Ingresos Arrendamiento'!$B$6:$B$51,0),MATCH(K$4,'Ingresos Arrendamiento'!$BV$5:$BY$5,0)),0)</f>
        <v>10165278</v>
      </c>
      <c r="L19" s="38">
        <f>VLOOKUP($B19,'Ingresos PR'!$B$6:$K$48,10,FALSE)</f>
        <v>9964220</v>
      </c>
      <c r="M19" s="38">
        <f>ROUND(INDEX(NOI!$BC$6:$BF$48,MATCH($B19,NOI!$B$6:$B$48,0),MATCH(M$4,NOI!$BC$5:$BF$5,0)),0)</f>
        <v>8108494</v>
      </c>
      <c r="O19" s="38">
        <f>ROUND(_xlfn.XLOOKUP($B19,'[1]Detalle de Ingresos'!$D$49:$AS$49,'[1]Detalle de Ingresos'!$D$43:$AS$43),0)</f>
        <v>40827480</v>
      </c>
      <c r="P19" s="38">
        <f>ROUND(_xlfn.XLOOKUP($B19,'[1]Detalle de Ingresos'!$D$49:$AS$49,'[1]Detalle de Ingresos'!$D$44:$AS$44),0)</f>
        <v>4578500</v>
      </c>
      <c r="Q19" s="38">
        <f>ROUND(_xlfn.XLOOKUP($B19,'[1]Detalle de Ingresos'!$D$49:$AS$49,'[1]Detalle de Ingresos'!$D$45:$AS$45),0)</f>
        <v>0</v>
      </c>
      <c r="R19" s="38">
        <f>ROUND(_xlfn.XLOOKUP($B19,'[1]Detalle de Ingresos'!$D$49:$AS$49,'[1]Detalle de Ingresos'!$D$46:$AS$46),0)</f>
        <v>31732</v>
      </c>
      <c r="S19" s="38">
        <f t="shared" si="0"/>
        <v>45437712</v>
      </c>
      <c r="T19" s="37">
        <f t="shared" si="1"/>
        <v>-33324761</v>
      </c>
    </row>
    <row r="20" spans="2:20" ht="15.75" thickBot="1" x14ac:dyDescent="0.3">
      <c r="B20" s="7" t="s">
        <v>43</v>
      </c>
      <c r="C20" s="13" t="s">
        <v>44</v>
      </c>
      <c r="D20" s="14" t="s">
        <v>45</v>
      </c>
      <c r="E20" s="15">
        <v>2005</v>
      </c>
      <c r="F20" s="15">
        <v>2006</v>
      </c>
      <c r="G20" s="16">
        <v>41548</v>
      </c>
      <c r="H20" s="39">
        <f>VLOOKUP($B20,'Ingresos PR'!$B$6:$K$48,7,FALSE)</f>
        <v>10021857</v>
      </c>
      <c r="I20" s="39">
        <f>ROUND(INDEX('Ingresos Arrendamiento'!$BP$6:$BS$51,MATCH($B20,'Ingresos Arrendamiento'!$B$6:$B$51,0),MATCH(I$4,'Ingresos Arrendamiento'!$BP$5:$BS$5,0)),0)</f>
        <v>8393423</v>
      </c>
      <c r="J20" s="39">
        <f>VLOOKUP($B20,'Ingresos PR'!$B$6:$K$48,9,FALSE)</f>
        <v>10021857</v>
      </c>
      <c r="K20" s="39">
        <f>ROUND(INDEX('Ingresos Arrendamiento'!$BV$6:$BY$51,MATCH($B20,'Ingresos Arrendamiento'!$B$6:$B$51,0),MATCH(K$4,'Ingresos Arrendamiento'!$BV$5:$BY$5,0)),0)</f>
        <v>8393423</v>
      </c>
      <c r="L20" s="39">
        <f>VLOOKUP($B20,'Ingresos PR'!$B$6:$K$48,10,FALSE)</f>
        <v>6828241</v>
      </c>
      <c r="M20" s="39">
        <f>ROUND(INDEX(NOI!$BC$6:$BF$48,MATCH($B20,NOI!$B$6:$B$48,0),MATCH(M$4,NOI!$BC$5:$BF$5,0)),0)</f>
        <v>5850238</v>
      </c>
      <c r="O20" s="39">
        <f>ROUND(_xlfn.XLOOKUP($B20,'[1]Detalle de Ingresos'!$D$49:$AS$49,'[1]Detalle de Ingresos'!$D$43:$AS$43),0)</f>
        <v>27392040</v>
      </c>
      <c r="P20" s="39">
        <f>ROUND(_xlfn.XLOOKUP($B20,'[1]Detalle de Ingresos'!$D$49:$AS$49,'[1]Detalle de Ingresos'!$D$44:$AS$44),0)</f>
        <v>4960911</v>
      </c>
      <c r="Q20" s="39">
        <f>ROUND(_xlfn.XLOOKUP($B20,'[1]Detalle de Ingresos'!$D$49:$AS$49,'[1]Detalle de Ingresos'!$D$45:$AS$45),0)</f>
        <v>2950774</v>
      </c>
      <c r="R20" s="39">
        <f>ROUND(_xlfn.XLOOKUP($B20,'[1]Detalle de Ingresos'!$D$49:$AS$49,'[1]Detalle de Ingresos'!$D$46:$AS$46),0)</f>
        <v>0</v>
      </c>
      <c r="S20" s="39">
        <f t="shared" si="0"/>
        <v>35303725</v>
      </c>
      <c r="T20" s="37">
        <f t="shared" si="1"/>
        <v>-25281868</v>
      </c>
    </row>
    <row r="21" spans="2:20" ht="15.75" thickBot="1" x14ac:dyDescent="0.3">
      <c r="B21" s="7" t="s">
        <v>46</v>
      </c>
      <c r="C21" s="8" t="s">
        <v>47</v>
      </c>
      <c r="D21" s="9" t="s">
        <v>42</v>
      </c>
      <c r="E21" s="10">
        <v>1995</v>
      </c>
      <c r="F21" s="10">
        <v>1995</v>
      </c>
      <c r="G21" s="11">
        <v>41974</v>
      </c>
      <c r="H21" s="38">
        <f>VLOOKUP($B21,'Ingresos PR'!$B$6:$K$48,7,FALSE)</f>
        <v>8227746</v>
      </c>
      <c r="I21" s="38">
        <f>ROUND(INDEX('Ingresos Arrendamiento'!$BP$6:$BS$51,MATCH($B21,'Ingresos Arrendamiento'!$B$6:$B$51,0),MATCH(I$4,'Ingresos Arrendamiento'!$BP$5:$BS$5,0)),0)</f>
        <v>7506179</v>
      </c>
      <c r="J21" s="38">
        <f>VLOOKUP($B21,'Ingresos PR'!$B$6:$K$48,9,FALSE)</f>
        <v>8227746</v>
      </c>
      <c r="K21" s="38">
        <f>ROUND(INDEX('Ingresos Arrendamiento'!$BV$6:$BY$51,MATCH($B21,'Ingresos Arrendamiento'!$B$6:$B$51,0),MATCH(K$4,'Ingresos Arrendamiento'!$BV$5:$BY$5,0)),0)</f>
        <v>7506179</v>
      </c>
      <c r="L21" s="38">
        <f>VLOOKUP($B21,'Ingresos PR'!$B$6:$K$48,10,FALSE)</f>
        <v>6704829</v>
      </c>
      <c r="M21" s="38">
        <f>ROUND(INDEX(NOI!$BC$6:$BF$48,MATCH($B21,NOI!$B$6:$B$48,0),MATCH(M$4,NOI!$BC$5:$BF$5,0)),0)</f>
        <v>5228534</v>
      </c>
      <c r="O21" s="38">
        <f>ROUND(_xlfn.XLOOKUP($B21,'[1]Detalle de Ingresos'!$D$49:$AS$49,'[1]Detalle de Ingresos'!$D$43:$AS$43),0)</f>
        <v>24520145</v>
      </c>
      <c r="P21" s="38">
        <f>ROUND(_xlfn.XLOOKUP($B21,'[1]Detalle de Ingresos'!$D$49:$AS$49,'[1]Detalle de Ingresos'!$D$44:$AS$44),0)</f>
        <v>3845842</v>
      </c>
      <c r="Q21" s="38">
        <f>ROUND(_xlfn.XLOOKUP($B21,'[1]Detalle de Ingresos'!$D$49:$AS$49,'[1]Detalle de Ingresos'!$D$45:$AS$45),0)</f>
        <v>0</v>
      </c>
      <c r="R21" s="38">
        <f>ROUND(_xlfn.XLOOKUP($B21,'[1]Detalle de Ingresos'!$D$49:$AS$49,'[1]Detalle de Ingresos'!$D$46:$AS$46),0)</f>
        <v>0</v>
      </c>
      <c r="S21" s="38">
        <f t="shared" si="0"/>
        <v>28365987</v>
      </c>
      <c r="T21" s="37">
        <f t="shared" si="1"/>
        <v>-20138241</v>
      </c>
    </row>
    <row r="22" spans="2:20" ht="23.25" thickBot="1" x14ac:dyDescent="0.3">
      <c r="B22" s="7" t="s">
        <v>48</v>
      </c>
      <c r="C22" s="13" t="s">
        <v>49</v>
      </c>
      <c r="D22" s="14" t="s">
        <v>50</v>
      </c>
      <c r="E22" s="15">
        <v>2005</v>
      </c>
      <c r="F22" s="15">
        <v>2006</v>
      </c>
      <c r="G22" s="16">
        <v>41395</v>
      </c>
      <c r="H22" s="39">
        <f>VLOOKUP($B22,'Ingresos PR'!$B$6:$K$48,7,FALSE)</f>
        <v>7973754</v>
      </c>
      <c r="I22" s="39">
        <f>ROUND(INDEX('Ingresos Arrendamiento'!$BP$6:$BS$51,MATCH($B22,'Ingresos Arrendamiento'!$B$6:$B$51,0),MATCH(I$4,'Ingresos Arrendamiento'!$BP$5:$BS$5,0)),0)</f>
        <v>6110590</v>
      </c>
      <c r="J22" s="39">
        <f>VLOOKUP($B22,'Ingresos PR'!$B$6:$K$48,9,FALSE)</f>
        <v>7973754</v>
      </c>
      <c r="K22" s="39">
        <f>ROUND(INDEX('Ingresos Arrendamiento'!$BV$6:$BY$51,MATCH($B22,'Ingresos Arrendamiento'!$B$6:$B$51,0),MATCH(K$4,'Ingresos Arrendamiento'!$BV$5:$BY$5,0)),0)</f>
        <v>6110590</v>
      </c>
      <c r="L22" s="39">
        <f>VLOOKUP($B22,'Ingresos PR'!$B$6:$K$48,10,FALSE)</f>
        <v>4243038</v>
      </c>
      <c r="M22" s="39">
        <f>ROUND(INDEX(NOI!$BC$6:$BF$48,MATCH($B22,NOI!$B$6:$B$48,0),MATCH(M$4,NOI!$BC$5:$BF$5,0)),0)</f>
        <v>4835946</v>
      </c>
      <c r="O22" s="39">
        <f>ROUND(_xlfn.XLOOKUP($B22,'[1]Detalle de Ingresos'!$D$49:$AS$49,'[1]Detalle de Ingresos'!$D$43:$AS$43),0)+1</f>
        <v>21635404</v>
      </c>
      <c r="P22" s="39">
        <f>ROUND(_xlfn.XLOOKUP($B22,'[1]Detalle de Ingresos'!$D$49:$AS$49,'[1]Detalle de Ingresos'!$D$44:$AS$44),0)</f>
        <v>5303892</v>
      </c>
      <c r="Q22" s="39">
        <f>ROUND(_xlfn.XLOOKUP($B22,'[1]Detalle de Ingresos'!$D$49:$AS$49,'[1]Detalle de Ingresos'!$D$45:$AS$45),0)</f>
        <v>55189</v>
      </c>
      <c r="R22" s="39">
        <f>ROUND(_xlfn.XLOOKUP($B22,'[1]Detalle de Ingresos'!$D$49:$AS$49,'[1]Detalle de Ingresos'!$D$46:$AS$46),0)</f>
        <v>-12138</v>
      </c>
      <c r="S22" s="39">
        <f t="shared" si="0"/>
        <v>26982347</v>
      </c>
      <c r="T22" s="37">
        <f t="shared" si="1"/>
        <v>-19008593</v>
      </c>
    </row>
    <row r="23" spans="2:20" ht="23.25" thickBot="1" x14ac:dyDescent="0.3">
      <c r="B23" s="7" t="s">
        <v>51</v>
      </c>
      <c r="C23" s="8" t="s">
        <v>52</v>
      </c>
      <c r="D23" s="9" t="s">
        <v>50</v>
      </c>
      <c r="E23" s="10">
        <v>2006</v>
      </c>
      <c r="F23" s="10">
        <v>2007</v>
      </c>
      <c r="G23" s="11">
        <v>41395</v>
      </c>
      <c r="H23" s="38">
        <f>VLOOKUP($B23,'Ingresos PR'!$B$6:$K$48,7,FALSE)</f>
        <v>6676358</v>
      </c>
      <c r="I23" s="38">
        <f>ROUND(INDEX('Ingresos Arrendamiento'!$BP$6:$BS$51,MATCH($B23,'Ingresos Arrendamiento'!$B$6:$B$51,0),MATCH(I$4,'Ingresos Arrendamiento'!$BP$5:$BS$5,0)),0)</f>
        <v>5301933</v>
      </c>
      <c r="J23" s="38">
        <f>VLOOKUP($B23,'Ingresos PR'!$B$6:$K$48,9,FALSE)</f>
        <v>6676358</v>
      </c>
      <c r="K23" s="38">
        <f>ROUND(INDEX('Ingresos Arrendamiento'!$BV$6:$BY$51,MATCH($B23,'Ingresos Arrendamiento'!$B$6:$B$51,0),MATCH(K$4,'Ingresos Arrendamiento'!$BV$5:$BY$5,0)),0)</f>
        <v>5301933</v>
      </c>
      <c r="L23" s="38">
        <f>VLOOKUP($B23,'Ingresos PR'!$B$6:$K$48,10,FALSE)</f>
        <v>4268199</v>
      </c>
      <c r="M23" s="38">
        <f>ROUND(INDEX(NOI!$BC$6:$BF$48,MATCH($B23,NOI!$B$6:$B$48,0),MATCH(M$4,NOI!$BC$5:$BF$5,0)),0)</f>
        <v>3568034</v>
      </c>
      <c r="O23" s="38">
        <f>ROUND(_xlfn.XLOOKUP($B23,'[1]Detalle de Ingresos'!$D$49:$AS$49,'[1]Detalle de Ingresos'!$D$43:$AS$43),0)</f>
        <v>20481035</v>
      </c>
      <c r="P23" s="38">
        <f>ROUND(_xlfn.XLOOKUP($B23,'[1]Detalle de Ingresos'!$D$49:$AS$49,'[1]Detalle de Ingresos'!$D$44:$AS$44),0)</f>
        <v>3302715</v>
      </c>
      <c r="Q23" s="38">
        <f>ROUND(_xlfn.XLOOKUP($B23,'[1]Detalle de Ingresos'!$D$49:$AS$49,'[1]Detalle de Ingresos'!$D$45:$AS$45),0)</f>
        <v>0</v>
      </c>
      <c r="R23" s="38">
        <f>ROUND(_xlfn.XLOOKUP($B23,'[1]Detalle de Ingresos'!$D$49:$AS$49,'[1]Detalle de Ingresos'!$D$46:$AS$46),0)</f>
        <v>40971</v>
      </c>
      <c r="S23" s="38">
        <f t="shared" si="0"/>
        <v>23824721</v>
      </c>
      <c r="T23" s="37">
        <f t="shared" si="1"/>
        <v>-17148363</v>
      </c>
    </row>
    <row r="24" spans="2:20" ht="15.75" thickBot="1" x14ac:dyDescent="0.3">
      <c r="B24" s="7" t="s">
        <v>53</v>
      </c>
      <c r="C24" s="13" t="s">
        <v>54</v>
      </c>
      <c r="D24" s="14" t="s">
        <v>55</v>
      </c>
      <c r="E24" s="15">
        <v>2013</v>
      </c>
      <c r="F24" s="15">
        <v>2014</v>
      </c>
      <c r="G24" s="16">
        <v>41334</v>
      </c>
      <c r="H24" s="39">
        <f>VLOOKUP($B24,'Ingresos PR'!$B$6:$K$48,7,FALSE)</f>
        <v>18493320</v>
      </c>
      <c r="I24" s="39">
        <f>ROUND(INDEX('Ingresos Arrendamiento'!$BP$6:$BS$51,MATCH($B24,'Ingresos Arrendamiento'!$B$6:$B$51,0),MATCH(I$4,'Ingresos Arrendamiento'!$BP$5:$BS$5,0)),0)</f>
        <v>16757641</v>
      </c>
      <c r="J24" s="39">
        <f>VLOOKUP($B24,'Ingresos PR'!$B$6:$K$48,9,FALSE)</f>
        <v>18493320</v>
      </c>
      <c r="K24" s="39">
        <f>ROUND(INDEX('Ingresos Arrendamiento'!$BV$6:$BY$51,MATCH($B24,'Ingresos Arrendamiento'!$B$6:$B$51,0),MATCH(K$4,'Ingresos Arrendamiento'!$BV$5:$BY$5,0)),0)</f>
        <v>16757641</v>
      </c>
      <c r="L24" s="39">
        <f>VLOOKUP($B24,'Ingresos PR'!$B$6:$K$48,10,FALSE)</f>
        <v>15225733</v>
      </c>
      <c r="M24" s="39">
        <f>ROUND(INDEX(NOI!$BC$6:$BF$48,MATCH($B24,NOI!$B$6:$B$48,0),MATCH(M$4,NOI!$BC$5:$BF$5,0)),0)</f>
        <v>13634592</v>
      </c>
      <c r="O24" s="39">
        <f>ROUND(_xlfn.XLOOKUP($B24,'[1]Detalle de Ingresos'!$D$49:$AS$49,'[1]Detalle de Ingresos'!$D$43:$AS$43),0)</f>
        <v>54176754</v>
      </c>
      <c r="P24" s="39">
        <f>ROUND(_xlfn.XLOOKUP($B24,'[1]Detalle de Ingresos'!$D$49:$AS$49,'[1]Detalle de Ingresos'!$D$44:$AS$44),0)</f>
        <v>8534258</v>
      </c>
      <c r="Q24" s="39">
        <f>ROUND(_xlfn.XLOOKUP($B24,'[1]Detalle de Ingresos'!$D$49:$AS$49,'[1]Detalle de Ingresos'!$D$45:$AS$45),0)</f>
        <v>5355345</v>
      </c>
      <c r="R24" s="39">
        <f>ROUND(_xlfn.XLOOKUP($B24,'[1]Detalle de Ingresos'!$D$49:$AS$49,'[1]Detalle de Ingresos'!$D$46:$AS$46),0)</f>
        <v>1275236</v>
      </c>
      <c r="S24" s="39">
        <f t="shared" si="0"/>
        <v>69341593</v>
      </c>
      <c r="T24" s="37">
        <f t="shared" si="1"/>
        <v>-50848273</v>
      </c>
    </row>
    <row r="25" spans="2:20" ht="15.75" thickBot="1" x14ac:dyDescent="0.3">
      <c r="B25" s="7" t="s">
        <v>56</v>
      </c>
      <c r="C25" s="8" t="s">
        <v>57</v>
      </c>
      <c r="D25" s="9" t="s">
        <v>58</v>
      </c>
      <c r="E25" s="10">
        <v>2012</v>
      </c>
      <c r="F25" s="10">
        <v>2013</v>
      </c>
      <c r="G25" s="11">
        <v>41974</v>
      </c>
      <c r="H25" s="38">
        <f>VLOOKUP($B25,'Ingresos PR'!$B$6:$K$48,7,FALSE)</f>
        <v>3152474</v>
      </c>
      <c r="I25" s="38">
        <f>ROUND(INDEX('Ingresos Arrendamiento'!$BP$6:$BS$51,MATCH($B25,'Ingresos Arrendamiento'!$B$6:$B$51,0),MATCH(I$4,'Ingresos Arrendamiento'!$BP$5:$BS$5,0)),0)</f>
        <v>2560903</v>
      </c>
      <c r="J25" s="38">
        <f>VLOOKUP($B25,'Ingresos PR'!$B$6:$K$48,9,FALSE)</f>
        <v>3152474</v>
      </c>
      <c r="K25" s="38">
        <f>ROUND(INDEX('Ingresos Arrendamiento'!$BV$6:$BY$51,MATCH($B25,'Ingresos Arrendamiento'!$B$6:$B$51,0),MATCH(K$4,'Ingresos Arrendamiento'!$BV$5:$BY$5,0)),0)</f>
        <v>2560903</v>
      </c>
      <c r="L25" s="38">
        <f>VLOOKUP($B25,'Ingresos PR'!$B$6:$K$48,10,FALSE)</f>
        <v>1949064</v>
      </c>
      <c r="M25" s="38">
        <f>ROUND(INDEX(NOI!$BC$6:$BF$48,MATCH($B25,NOI!$B$6:$B$48,0),MATCH(M$4,NOI!$BC$5:$BF$5,0)),0)</f>
        <v>1362937</v>
      </c>
      <c r="O25" s="38">
        <f>ROUND(_xlfn.XLOOKUP($B25,'[1]Detalle de Ingresos'!$D$49:$AS$49,'[1]Detalle de Ingresos'!$D$43:$AS$43),0)</f>
        <v>9415358</v>
      </c>
      <c r="P25" s="38">
        <f>ROUND(_xlfn.XLOOKUP($B25,'[1]Detalle de Ingresos'!$D$49:$AS$49,'[1]Detalle de Ingresos'!$D$44:$AS$44),0)</f>
        <v>1791548</v>
      </c>
      <c r="Q25" s="38">
        <f>ROUND(_xlfn.XLOOKUP($B25,'[1]Detalle de Ingresos'!$D$49:$AS$49,'[1]Detalle de Ingresos'!$D$45:$AS$45),0)</f>
        <v>0</v>
      </c>
      <c r="R25" s="38">
        <f>ROUND(_xlfn.XLOOKUP($B25,'[1]Detalle de Ingresos'!$D$49:$AS$49,'[1]Detalle de Ingresos'!$D$46:$AS$46),0)</f>
        <v>1139</v>
      </c>
      <c r="S25" s="38">
        <f t="shared" si="0"/>
        <v>11208045</v>
      </c>
      <c r="T25" s="37">
        <f t="shared" si="1"/>
        <v>-8055571</v>
      </c>
    </row>
    <row r="26" spans="2:20" ht="15.75" thickBot="1" x14ac:dyDescent="0.3">
      <c r="B26" s="7" t="s">
        <v>59</v>
      </c>
      <c r="C26" s="13" t="s">
        <v>60</v>
      </c>
      <c r="D26" s="14" t="s">
        <v>19</v>
      </c>
      <c r="E26" s="15">
        <v>2009</v>
      </c>
      <c r="F26" s="15">
        <v>2009</v>
      </c>
      <c r="G26" s="16">
        <v>41548</v>
      </c>
      <c r="H26" s="39">
        <f>VLOOKUP($B26,'Ingresos PR'!$B$6:$K$48,7,FALSE)</f>
        <v>4705568</v>
      </c>
      <c r="I26" s="39">
        <f>ROUND(INDEX('Ingresos Arrendamiento'!$BP$6:$BS$51,MATCH($B26,'Ingresos Arrendamiento'!$B$6:$B$51,0),MATCH(I$4,'Ingresos Arrendamiento'!$BP$5:$BS$5,0)),0)</f>
        <v>4714264</v>
      </c>
      <c r="J26" s="39">
        <f>VLOOKUP($B26,'Ingresos PR'!$B$6:$K$48,9,FALSE)</f>
        <v>4705568</v>
      </c>
      <c r="K26" s="39">
        <f>ROUND(INDEX('Ingresos Arrendamiento'!$BV$6:$BY$51,MATCH($B26,'Ingresos Arrendamiento'!$B$6:$B$51,0),MATCH(K$4,'Ingresos Arrendamiento'!$BV$5:$BY$5,0)),0)</f>
        <v>4714264</v>
      </c>
      <c r="L26" s="39">
        <f>VLOOKUP($B26,'Ingresos PR'!$B$6:$K$48,10,FALSE)</f>
        <v>2548708</v>
      </c>
      <c r="M26" s="39">
        <f>ROUND(INDEX(NOI!$BC$6:$BF$48,MATCH($B26,NOI!$B$6:$B$48,0),MATCH(M$4,NOI!$BC$5:$BF$5,0)),0)</f>
        <v>3281580</v>
      </c>
      <c r="O26" s="39">
        <f>ROUND(_xlfn.XLOOKUP($B26,'[1]Detalle de Ingresos'!$D$49:$AS$49,'[1]Detalle de Ingresos'!$D$43:$AS$43),0)</f>
        <v>15092087</v>
      </c>
      <c r="P26" s="39">
        <f>ROUND(_xlfn.XLOOKUP($B26,'[1]Detalle de Ingresos'!$D$49:$AS$49,'[1]Detalle de Ingresos'!$D$44:$AS$44),0)</f>
        <v>1941651</v>
      </c>
      <c r="Q26" s="39">
        <f>ROUND(_xlfn.XLOOKUP($B26,'[1]Detalle de Ingresos'!$D$49:$AS$49,'[1]Detalle de Ingresos'!$D$45:$AS$45),0)</f>
        <v>0</v>
      </c>
      <c r="R26" s="39">
        <f>ROUND(_xlfn.XLOOKUP($B26,'[1]Detalle de Ingresos'!$D$49:$AS$49,'[1]Detalle de Ingresos'!$D$46:$AS$46),0)</f>
        <v>-8168</v>
      </c>
      <c r="S26" s="39">
        <f t="shared" si="0"/>
        <v>17025570</v>
      </c>
      <c r="T26" s="37">
        <f t="shared" si="1"/>
        <v>-12320002</v>
      </c>
    </row>
    <row r="27" spans="2:20" ht="15.75" thickBot="1" x14ac:dyDescent="0.3">
      <c r="B27" s="7" t="s">
        <v>61</v>
      </c>
      <c r="C27" s="8" t="s">
        <v>62</v>
      </c>
      <c r="D27" s="9" t="s">
        <v>45</v>
      </c>
      <c r="E27" s="10">
        <v>2006</v>
      </c>
      <c r="F27" s="10">
        <v>2006</v>
      </c>
      <c r="G27" s="11">
        <v>41974</v>
      </c>
      <c r="H27" s="38">
        <f>VLOOKUP($B27,'Ingresos PR'!$B$6:$K$48,7,FALSE)</f>
        <v>4213896</v>
      </c>
      <c r="I27" s="38">
        <f>ROUND(INDEX('Ingresos Arrendamiento'!$BP$6:$BS$51,MATCH($B27,'Ingresos Arrendamiento'!$B$6:$B$51,0),MATCH(I$4,'Ingresos Arrendamiento'!$BP$5:$BS$5,0)),0)</f>
        <v>3632128</v>
      </c>
      <c r="J27" s="38">
        <f>VLOOKUP($B27,'Ingresos PR'!$B$6:$K$48,9,FALSE)</f>
        <v>4213896</v>
      </c>
      <c r="K27" s="38">
        <f>ROUND(INDEX('Ingresos Arrendamiento'!$BV$6:$BY$51,MATCH($B27,'Ingresos Arrendamiento'!$B$6:$B$51,0),MATCH(K$4,'Ingresos Arrendamiento'!$BV$5:$BY$5,0)),0)</f>
        <v>3632128</v>
      </c>
      <c r="L27" s="38">
        <f>VLOOKUP($B27,'Ingresos PR'!$B$6:$K$48,10,FALSE)</f>
        <v>3572842</v>
      </c>
      <c r="M27" s="38">
        <f>ROUND(INDEX(NOI!$BC$6:$BF$48,MATCH($B27,NOI!$B$6:$B$48,0),MATCH(M$4,NOI!$BC$5:$BF$5,0)),0)</f>
        <v>2971595</v>
      </c>
      <c r="O27" s="38">
        <f>ROUND(_xlfn.XLOOKUP($B27,'[1]Detalle de Ingresos'!$D$49:$AS$49,'[1]Detalle de Ingresos'!$D$43:$AS$43),0)+1</f>
        <v>13329369</v>
      </c>
      <c r="P27" s="38">
        <f>ROUND(_xlfn.XLOOKUP($B27,'[1]Detalle de Ingresos'!$D$49:$AS$49,'[1]Detalle de Ingresos'!$D$44:$AS$44),0)</f>
        <v>1087912</v>
      </c>
      <c r="Q27" s="38">
        <f>ROUND(_xlfn.XLOOKUP($B27,'[1]Detalle de Ingresos'!$D$49:$AS$49,'[1]Detalle de Ingresos'!$D$45:$AS$45),0)</f>
        <v>0</v>
      </c>
      <c r="R27" s="38">
        <f>ROUND(_xlfn.XLOOKUP($B27,'[1]Detalle de Ingresos'!$D$49:$AS$49,'[1]Detalle de Ingresos'!$D$46:$AS$46),0)</f>
        <v>3167</v>
      </c>
      <c r="S27" s="38">
        <f t="shared" si="0"/>
        <v>14420448</v>
      </c>
      <c r="T27" s="37">
        <f t="shared" si="1"/>
        <v>-10206552</v>
      </c>
    </row>
    <row r="28" spans="2:20" ht="23.25" thickBot="1" x14ac:dyDescent="0.3">
      <c r="B28" s="7" t="s">
        <v>63</v>
      </c>
      <c r="C28" s="13" t="s">
        <v>64</v>
      </c>
      <c r="D28" s="14" t="s">
        <v>65</v>
      </c>
      <c r="E28" s="15">
        <v>2010</v>
      </c>
      <c r="F28" s="15">
        <v>2010</v>
      </c>
      <c r="G28" s="16">
        <v>41821</v>
      </c>
      <c r="H28" s="39">
        <f>VLOOKUP($B28,'Ingresos PR'!$B$6:$K$48,7,FALSE)</f>
        <v>5524004</v>
      </c>
      <c r="I28" s="39">
        <f>ROUND(INDEX('Ingresos Arrendamiento'!$BP$6:$BS$51,MATCH($B28,'Ingresos Arrendamiento'!$B$6:$B$51,0),MATCH(I$4,'Ingresos Arrendamiento'!$BP$5:$BS$5,0)),0)</f>
        <v>5277699</v>
      </c>
      <c r="J28" s="39">
        <f>VLOOKUP($B28,'Ingresos PR'!$B$6:$K$48,9,FALSE)</f>
        <v>5524004</v>
      </c>
      <c r="K28" s="39">
        <f>ROUND(INDEX('Ingresos Arrendamiento'!$BV$6:$BY$51,MATCH($B28,'Ingresos Arrendamiento'!$B$6:$B$51,0),MATCH(K$4,'Ingresos Arrendamiento'!$BV$5:$BY$5,0)),0)</f>
        <v>5277699</v>
      </c>
      <c r="L28" s="39">
        <f>VLOOKUP($B28,'Ingresos PR'!$B$6:$K$48,10,FALSE)</f>
        <v>5269359</v>
      </c>
      <c r="M28" s="39">
        <f>ROUND(INDEX(NOI!$BC$6:$BF$48,MATCH($B28,NOI!$B$6:$B$48,0),MATCH(M$4,NOI!$BC$5:$BF$5,0)),0)</f>
        <v>5028036</v>
      </c>
      <c r="O28" s="39">
        <f>ROUND(_xlfn.XLOOKUP($B28,'[1]Detalle de Ingresos'!$D$49:$AS$49,'[1]Detalle de Ingresos'!$D$43:$AS$43),0)</f>
        <v>21767609</v>
      </c>
      <c r="P28" s="39">
        <f>ROUND(_xlfn.XLOOKUP($B28,'[1]Detalle de Ingresos'!$D$49:$AS$49,'[1]Detalle de Ingresos'!$D$44:$AS$44),0)</f>
        <v>0</v>
      </c>
      <c r="Q28" s="39">
        <f>ROUND(_xlfn.XLOOKUP($B28,'[1]Detalle de Ingresos'!$D$49:$AS$49,'[1]Detalle de Ingresos'!$D$45:$AS$45),0)</f>
        <v>0</v>
      </c>
      <c r="R28" s="39">
        <f>ROUND(_xlfn.XLOOKUP($B28,'[1]Detalle de Ingresos'!$D$49:$AS$49,'[1]Detalle de Ingresos'!$D$46:$AS$46),0)</f>
        <v>0</v>
      </c>
      <c r="S28" s="39">
        <f t="shared" si="0"/>
        <v>21767609</v>
      </c>
      <c r="T28" s="37">
        <f t="shared" si="1"/>
        <v>-16243605</v>
      </c>
    </row>
    <row r="29" spans="2:20" ht="15.75" thickBot="1" x14ac:dyDescent="0.3">
      <c r="B29" s="7" t="s">
        <v>66</v>
      </c>
      <c r="C29" s="8" t="s">
        <v>67</v>
      </c>
      <c r="D29" s="9" t="s">
        <v>13</v>
      </c>
      <c r="E29" s="10">
        <v>2012</v>
      </c>
      <c r="F29" s="10">
        <v>2012</v>
      </c>
      <c r="G29" s="11">
        <v>41821</v>
      </c>
      <c r="H29" s="38">
        <f>VLOOKUP($B29,'Ingresos PR'!$B$6:$K$48,7,FALSE)</f>
        <v>3113307</v>
      </c>
      <c r="I29" s="38">
        <f>ROUND(INDEX('Ingresos Arrendamiento'!$BP$6:$BS$51,MATCH($B29,'Ingresos Arrendamiento'!$B$6:$B$51,0),MATCH(I$4,'Ingresos Arrendamiento'!$BP$5:$BS$5,0)),0)</f>
        <v>2876992</v>
      </c>
      <c r="J29" s="38">
        <f>VLOOKUP($B29,'Ingresos PR'!$B$6:$K$48,9,FALSE)</f>
        <v>3113307</v>
      </c>
      <c r="K29" s="38">
        <f>ROUND(INDEX('Ingresos Arrendamiento'!$BV$6:$BY$51,MATCH($B29,'Ingresos Arrendamiento'!$B$6:$B$51,0),MATCH(K$4,'Ingresos Arrendamiento'!$BV$5:$BY$5,0)),0)</f>
        <v>2876992</v>
      </c>
      <c r="L29" s="38">
        <f>VLOOKUP($B29,'Ingresos PR'!$B$6:$K$48,10,FALSE)</f>
        <v>2858917</v>
      </c>
      <c r="M29" s="38">
        <f>ROUND(INDEX(NOI!$BC$6:$BF$48,MATCH($B29,NOI!$B$6:$B$48,0),MATCH(M$4,NOI!$BC$5:$BF$5,0)),0)</f>
        <v>2724829</v>
      </c>
      <c r="O29" s="38">
        <f>ROUND(_xlfn.XLOOKUP($B29,'[1]Detalle de Ingresos'!$D$49:$AS$49,'[1]Detalle de Ingresos'!$D$43:$AS$43),0)</f>
        <v>11340744</v>
      </c>
      <c r="P29" s="38">
        <f>ROUND(_xlfn.XLOOKUP($B29,'[1]Detalle de Ingresos'!$D$49:$AS$49,'[1]Detalle de Ingresos'!$D$44:$AS$44),0)</f>
        <v>80896</v>
      </c>
      <c r="Q29" s="38">
        <f>ROUND(_xlfn.XLOOKUP($B29,'[1]Detalle de Ingresos'!$D$49:$AS$49,'[1]Detalle de Ingresos'!$D$45:$AS$45),0)</f>
        <v>0</v>
      </c>
      <c r="R29" s="38">
        <f>ROUND(_xlfn.XLOOKUP($B29,'[1]Detalle de Ingresos'!$D$49:$AS$49,'[1]Detalle de Ingresos'!$D$46:$AS$46),0)</f>
        <v>625216</v>
      </c>
      <c r="S29" s="38">
        <f t="shared" si="0"/>
        <v>12046856</v>
      </c>
      <c r="T29" s="37">
        <f t="shared" si="1"/>
        <v>-8933549</v>
      </c>
    </row>
    <row r="30" spans="2:20" ht="15.75" thickBot="1" x14ac:dyDescent="0.3">
      <c r="B30" s="7" t="s">
        <v>68</v>
      </c>
      <c r="C30" s="13" t="s">
        <v>69</v>
      </c>
      <c r="D30" s="14" t="s">
        <v>70</v>
      </c>
      <c r="E30" s="15">
        <v>2013</v>
      </c>
      <c r="F30" s="15">
        <v>2013</v>
      </c>
      <c r="G30" s="16">
        <v>41334</v>
      </c>
      <c r="H30" s="39">
        <f>VLOOKUP($B30,'Ingresos PR'!$B$6:$K$48,7,FALSE)</f>
        <v>6405164</v>
      </c>
      <c r="I30" s="39">
        <f>ROUND(INDEX('Ingresos Arrendamiento'!$BP$6:$BS$51,MATCH($B30,'Ingresos Arrendamiento'!$B$6:$B$51,0),MATCH(I$4,'Ingresos Arrendamiento'!$BP$5:$BS$5,0)),0)</f>
        <v>5886290</v>
      </c>
      <c r="J30" s="39">
        <f>VLOOKUP($B30,'Ingresos PR'!$B$6:$K$48,9,FALSE)</f>
        <v>6405164</v>
      </c>
      <c r="K30" s="39">
        <f>ROUND(INDEX('Ingresos Arrendamiento'!$BV$6:$BY$51,MATCH($B30,'Ingresos Arrendamiento'!$B$6:$B$51,0),MATCH(K$4,'Ingresos Arrendamiento'!$BV$5:$BY$5,0)),0)</f>
        <v>5886290</v>
      </c>
      <c r="L30" s="39">
        <f>VLOOKUP($B30,'Ingresos PR'!$B$6:$K$48,10,FALSE)</f>
        <v>5126383</v>
      </c>
      <c r="M30" s="39">
        <f>ROUND(INDEX(NOI!$BC$6:$BF$48,MATCH($B30,NOI!$B$6:$B$48,0),MATCH(M$4,NOI!$BC$5:$BF$5,0)),0)</f>
        <v>4695027</v>
      </c>
      <c r="O30" s="39">
        <f>ROUND(_xlfn.XLOOKUP($B30,'[1]Detalle de Ingresos'!$D$49:$AS$49,'[1]Detalle de Ingresos'!$D$43:$AS$43),0)</f>
        <v>18305265</v>
      </c>
      <c r="P30" s="39">
        <f>ROUND(_xlfn.XLOOKUP($B30,'[1]Detalle de Ingresos'!$D$49:$AS$49,'[1]Detalle de Ingresos'!$D$44:$AS$44),0)</f>
        <v>2700908</v>
      </c>
      <c r="Q30" s="39">
        <f>ROUND(_xlfn.XLOOKUP($B30,'[1]Detalle de Ingresos'!$D$49:$AS$49,'[1]Detalle de Ingresos'!$D$45:$AS$45),0)+1</f>
        <v>2630548</v>
      </c>
      <c r="R30" s="39">
        <f>ROUND(_xlfn.XLOOKUP($B30,'[1]Detalle de Ingresos'!$D$49:$AS$49,'[1]Detalle de Ingresos'!$D$46:$AS$46),0)</f>
        <v>415166</v>
      </c>
      <c r="S30" s="39">
        <f t="shared" si="0"/>
        <v>24051887</v>
      </c>
      <c r="T30" s="37">
        <f t="shared" si="1"/>
        <v>-17646723</v>
      </c>
    </row>
    <row r="31" spans="2:20" ht="15.75" thickBot="1" x14ac:dyDescent="0.3">
      <c r="B31" s="7" t="s">
        <v>71</v>
      </c>
      <c r="C31" s="8" t="s">
        <v>72</v>
      </c>
      <c r="D31" s="9" t="s">
        <v>16</v>
      </c>
      <c r="E31" s="10">
        <v>1991</v>
      </c>
      <c r="F31" s="10">
        <v>1995</v>
      </c>
      <c r="G31" s="11">
        <v>41974</v>
      </c>
      <c r="H31" s="38">
        <f>VLOOKUP($B31,'Ingresos PR'!$B$6:$K$48,7,FALSE)</f>
        <v>2407222</v>
      </c>
      <c r="I31" s="38">
        <f>ROUND(INDEX('Ingresos Arrendamiento'!$BP$6:$BS$51,MATCH($B31,'Ingresos Arrendamiento'!$B$6:$B$51,0),MATCH(I$4,'Ingresos Arrendamiento'!$BP$5:$BS$5,0)),0)</f>
        <v>1570266</v>
      </c>
      <c r="J31" s="38">
        <f>VLOOKUP($B31,'Ingresos PR'!$B$6:$K$48,9,FALSE)</f>
        <v>2407222</v>
      </c>
      <c r="K31" s="38">
        <f>ROUND(INDEX('Ingresos Arrendamiento'!$BV$6:$BY$51,MATCH($B31,'Ingresos Arrendamiento'!$B$6:$B$51,0),MATCH(K$4,'Ingresos Arrendamiento'!$BV$5:$BY$5,0)),0)</f>
        <v>1570266</v>
      </c>
      <c r="L31" s="38">
        <f>VLOOKUP($B31,'Ingresos PR'!$B$6:$K$48,10,FALSE)</f>
        <v>1548390</v>
      </c>
      <c r="M31" s="38">
        <f>ROUND(INDEX(NOI!$BC$6:$BF$48,MATCH($B31,NOI!$B$6:$B$48,0),MATCH(M$4,NOI!$BC$5:$BF$5,0)),0)</f>
        <v>1121349</v>
      </c>
      <c r="O31" s="38">
        <f>ROUND(_xlfn.XLOOKUP($B31,'[1]Detalle de Ingresos'!$D$49:$AS$49,'[1]Detalle de Ingresos'!$D$43:$AS$43),0)</f>
        <v>6879256</v>
      </c>
      <c r="P31" s="38">
        <f>ROUND(_xlfn.XLOOKUP($B31,'[1]Detalle de Ingresos'!$D$49:$AS$49,'[1]Detalle de Ingresos'!$D$44:$AS$44),0)</f>
        <v>67160</v>
      </c>
      <c r="Q31" s="38">
        <f>ROUND(_xlfn.XLOOKUP($B31,'[1]Detalle de Ingresos'!$D$49:$AS$49,'[1]Detalle de Ingresos'!$D$45:$AS$45),0)</f>
        <v>433313</v>
      </c>
      <c r="R31" s="38">
        <f>ROUND(_xlfn.XLOOKUP($B31,'[1]Detalle de Ingresos'!$D$49:$AS$49,'[1]Detalle de Ingresos'!$D$46:$AS$46),0)</f>
        <v>131</v>
      </c>
      <c r="S31" s="38">
        <f t="shared" si="0"/>
        <v>7379860</v>
      </c>
      <c r="T31" s="37">
        <f t="shared" si="1"/>
        <v>-4972638</v>
      </c>
    </row>
    <row r="32" spans="2:20" ht="15.75" thickBot="1" x14ac:dyDescent="0.3">
      <c r="B32" s="7" t="s">
        <v>73</v>
      </c>
      <c r="C32" s="13" t="s">
        <v>74</v>
      </c>
      <c r="D32" s="14" t="s">
        <v>75</v>
      </c>
      <c r="E32" s="15">
        <v>2015</v>
      </c>
      <c r="F32" s="15">
        <v>2016</v>
      </c>
      <c r="G32" s="16">
        <v>42064</v>
      </c>
      <c r="H32" s="39">
        <f>VLOOKUP($B32,'Ingresos PR'!$B$6:$K$48,7,FALSE)</f>
        <v>4822533</v>
      </c>
      <c r="I32" s="39">
        <f>ROUND(INDEX('Ingresos Arrendamiento'!$BP$6:$BS$51,MATCH($B32,'Ingresos Arrendamiento'!$B$6:$B$51,0),MATCH(I$4,'Ingresos Arrendamiento'!$BP$5:$BS$5,0)),0)</f>
        <v>3993287</v>
      </c>
      <c r="J32" s="39">
        <f>VLOOKUP($B32,'Ingresos PR'!$B$6:$K$48,9,FALSE)</f>
        <v>4822533</v>
      </c>
      <c r="K32" s="39">
        <f>ROUND(INDEX('Ingresos Arrendamiento'!$BV$6:$BY$51,MATCH($B32,'Ingresos Arrendamiento'!$B$6:$B$51,0),MATCH(K$4,'Ingresos Arrendamiento'!$BV$5:$BY$5,0)),0)</f>
        <v>3993287</v>
      </c>
      <c r="L32" s="39">
        <f>VLOOKUP($B32,'Ingresos PR'!$B$6:$K$48,10,FALSE)</f>
        <v>3226145</v>
      </c>
      <c r="M32" s="39">
        <f>ROUND(INDEX(NOI!$BC$6:$BF$48,MATCH($B32,NOI!$B$6:$B$48,0),MATCH(M$4,NOI!$BC$5:$BF$5,0)),0)</f>
        <v>2323684</v>
      </c>
      <c r="O32" s="39">
        <f>ROUND(_xlfn.XLOOKUP($B32,'[1]Detalle de Ingresos'!$D$49:$AS$49,'[1]Detalle de Ingresos'!$D$43:$AS$43),0)</f>
        <v>15006424</v>
      </c>
      <c r="P32" s="39">
        <f>ROUND(_xlfn.XLOOKUP($B32,'[1]Detalle de Ingresos'!$D$49:$AS$49,'[1]Detalle de Ingresos'!$D$44:$AS$44),0)</f>
        <v>2912072</v>
      </c>
      <c r="Q32" s="39">
        <f>ROUND(_xlfn.XLOOKUP($B32,'[1]Detalle de Ingresos'!$D$49:$AS$49,'[1]Detalle de Ingresos'!$D$45:$AS$45),0)</f>
        <v>0</v>
      </c>
      <c r="R32" s="39">
        <f>ROUND(_xlfn.XLOOKUP($B32,'[1]Detalle de Ingresos'!$D$49:$AS$49,'[1]Detalle de Ingresos'!$D$46:$AS$46),0)</f>
        <v>0</v>
      </c>
      <c r="S32" s="39">
        <f t="shared" si="0"/>
        <v>17918496</v>
      </c>
      <c r="T32" s="37">
        <f t="shared" si="1"/>
        <v>-13095963</v>
      </c>
    </row>
    <row r="33" spans="2:20" ht="15.75" thickBot="1" x14ac:dyDescent="0.3">
      <c r="B33" s="7" t="s">
        <v>76</v>
      </c>
      <c r="C33" s="8" t="s">
        <v>77</v>
      </c>
      <c r="D33" s="9" t="s">
        <v>25</v>
      </c>
      <c r="E33" s="10">
        <v>2008</v>
      </c>
      <c r="F33" s="10">
        <v>2008</v>
      </c>
      <c r="G33" s="11">
        <v>42614</v>
      </c>
      <c r="H33" s="38">
        <f>VLOOKUP($B33,'Ingresos PR'!$B$6:$K$48,7,FALSE)</f>
        <v>6148897</v>
      </c>
      <c r="I33" s="38">
        <f>ROUND(INDEX('Ingresos Arrendamiento'!$BP$6:$BS$51,MATCH($B33,'Ingresos Arrendamiento'!$B$6:$B$51,0),MATCH(I$4,'Ingresos Arrendamiento'!$BP$5:$BS$5,0)),0)</f>
        <v>5384378</v>
      </c>
      <c r="J33" s="38">
        <f>VLOOKUP($B33,'Ingresos PR'!$B$6:$K$48,9,FALSE)</f>
        <v>6148897</v>
      </c>
      <c r="K33" s="38">
        <f>ROUND(INDEX('Ingresos Arrendamiento'!$BV$6:$BY$51,MATCH($B33,'Ingresos Arrendamiento'!$B$6:$B$51,0),MATCH(K$4,'Ingresos Arrendamiento'!$BV$5:$BY$5,0)),0)</f>
        <v>5384378</v>
      </c>
      <c r="L33" s="38">
        <f>VLOOKUP($B33,'Ingresos PR'!$B$6:$K$48,10,FALSE)</f>
        <v>5157851</v>
      </c>
      <c r="M33" s="38">
        <f>ROUND(INDEX(NOI!$BC$6:$BF$48,MATCH($B33,NOI!$B$6:$B$48,0),MATCH(M$4,NOI!$BC$5:$BF$5,0)),0)</f>
        <v>4296449</v>
      </c>
      <c r="O33" s="38">
        <f>ROUND(_xlfn.XLOOKUP($B33,'[1]Detalle de Ingresos'!$D$49:$AS$49,'[1]Detalle de Ingresos'!$D$43:$AS$43),0)+1</f>
        <v>19932801</v>
      </c>
      <c r="P33" s="38">
        <f>ROUND(_xlfn.XLOOKUP($B33,'[1]Detalle de Ingresos'!$D$49:$AS$49,'[1]Detalle de Ingresos'!$D$44:$AS$44),0)</f>
        <v>1747933</v>
      </c>
      <c r="Q33" s="38">
        <f>ROUND(_xlfn.XLOOKUP($B33,'[1]Detalle de Ingresos'!$D$49:$AS$49,'[1]Detalle de Ingresos'!$D$45:$AS$45),0)</f>
        <v>0</v>
      </c>
      <c r="R33" s="38">
        <f>ROUND(_xlfn.XLOOKUP($B33,'[1]Detalle de Ingresos'!$D$49:$AS$49,'[1]Detalle de Ingresos'!$D$46:$AS$46),0)</f>
        <v>37883</v>
      </c>
      <c r="S33" s="38">
        <f t="shared" si="0"/>
        <v>21718617</v>
      </c>
      <c r="T33" s="37">
        <f t="shared" si="1"/>
        <v>-15569720</v>
      </c>
    </row>
    <row r="34" spans="2:20" ht="15.75" thickBot="1" x14ac:dyDescent="0.3">
      <c r="B34" s="7" t="s">
        <v>78</v>
      </c>
      <c r="C34" s="13" t="s">
        <v>79</v>
      </c>
      <c r="D34" s="14" t="s">
        <v>80</v>
      </c>
      <c r="E34" s="15">
        <v>2014</v>
      </c>
      <c r="F34" s="15">
        <v>2016</v>
      </c>
      <c r="G34" s="16">
        <v>41944</v>
      </c>
      <c r="H34" s="39">
        <f>VLOOKUP($B34,'Ingresos PR'!$B$6:$K$48,7,FALSE)</f>
        <v>10178835</v>
      </c>
      <c r="I34" s="39">
        <f>ROUND(INDEX('Ingresos Arrendamiento'!$BP$6:$BS$51,MATCH($B34,'Ingresos Arrendamiento'!$B$6:$B$51,0),MATCH(I$4,'Ingresos Arrendamiento'!$BP$5:$BS$5,0)),0)</f>
        <v>8244662</v>
      </c>
      <c r="J34" s="39">
        <f>VLOOKUP($B34,'Ingresos PR'!$B$6:$K$48,9,FALSE)</f>
        <v>10178835</v>
      </c>
      <c r="K34" s="39">
        <f>ROUND(INDEX('Ingresos Arrendamiento'!$BV$6:$BY$51,MATCH($B34,'Ingresos Arrendamiento'!$B$6:$B$51,0),MATCH(K$4,'Ingresos Arrendamiento'!$BV$5:$BY$5,0)),0)</f>
        <v>8244662</v>
      </c>
      <c r="L34" s="39">
        <f>VLOOKUP($B34,'Ingresos PR'!$B$6:$K$48,10,FALSE)</f>
        <v>8000049</v>
      </c>
      <c r="M34" s="39">
        <f>ROUND(INDEX(NOI!$BC$6:$BF$48,MATCH($B34,NOI!$B$6:$B$48,0),MATCH(M$4,NOI!$BC$5:$BF$5,0)),0)</f>
        <v>6386922</v>
      </c>
      <c r="O34" s="39">
        <f>ROUND(_xlfn.XLOOKUP($B34,'[1]Detalle de Ingresos'!$D$49:$AS$49,'[1]Detalle de Ingresos'!$D$43:$AS$43),0)-1</f>
        <v>32202480</v>
      </c>
      <c r="P34" s="39">
        <f>ROUND(_xlfn.XLOOKUP($B34,'[1]Detalle de Ingresos'!$D$49:$AS$49,'[1]Detalle de Ingresos'!$D$44:$AS$44),0)</f>
        <v>4540669</v>
      </c>
      <c r="Q34" s="39">
        <f>ROUND(_xlfn.XLOOKUP($B34,'[1]Detalle de Ingresos'!$D$49:$AS$49,'[1]Detalle de Ingresos'!$D$45:$AS$45),0)</f>
        <v>0</v>
      </c>
      <c r="R34" s="39">
        <f>ROUND(_xlfn.XLOOKUP($B34,'[1]Detalle de Ingresos'!$D$49:$AS$49,'[1]Detalle de Ingresos'!$D$46:$AS$46),0)</f>
        <v>181418</v>
      </c>
      <c r="S34" s="39">
        <f t="shared" si="0"/>
        <v>36924567</v>
      </c>
      <c r="T34" s="37">
        <f t="shared" si="1"/>
        <v>-26745732</v>
      </c>
    </row>
    <row r="35" spans="2:20" ht="15.75" thickBot="1" x14ac:dyDescent="0.3">
      <c r="B35" s="7" t="s">
        <v>81</v>
      </c>
      <c r="C35" s="8" t="s">
        <v>82</v>
      </c>
      <c r="D35" s="9" t="s">
        <v>10</v>
      </c>
      <c r="E35" s="10">
        <v>2014</v>
      </c>
      <c r="F35" s="10">
        <v>2016</v>
      </c>
      <c r="G35" s="11">
        <v>41852</v>
      </c>
      <c r="H35" s="38">
        <f>VLOOKUP($B35,'Ingresos PR'!$B$6:$K$48,7,FALSE)</f>
        <v>6481698</v>
      </c>
      <c r="I35" s="38">
        <f>ROUND(INDEX('Ingresos Arrendamiento'!$BP$6:$BS$51,MATCH($B35,'Ingresos Arrendamiento'!$B$6:$B$51,0),MATCH(I$4,'Ingresos Arrendamiento'!$BP$5:$BS$5,0)),0)</f>
        <v>5460947</v>
      </c>
      <c r="J35" s="38">
        <f>VLOOKUP($B35,'Ingresos PR'!$B$6:$K$48,9,FALSE)</f>
        <v>6481698</v>
      </c>
      <c r="K35" s="38">
        <f>ROUND(INDEX('Ingresos Arrendamiento'!$BV$6:$BY$51,MATCH($B35,'Ingresos Arrendamiento'!$B$6:$B$51,0),MATCH(K$4,'Ingresos Arrendamiento'!$BV$5:$BY$5,0)),0)</f>
        <v>5460947</v>
      </c>
      <c r="L35" s="38">
        <f>VLOOKUP($B35,'Ingresos PR'!$B$6:$K$48,10,FALSE)</f>
        <v>5116592</v>
      </c>
      <c r="M35" s="38">
        <f>ROUND(INDEX(NOI!$BC$6:$BF$48,MATCH($B35,NOI!$B$6:$B$48,0),MATCH(M$4,NOI!$BC$5:$BF$5,0)),0)</f>
        <v>4071003</v>
      </c>
      <c r="O35" s="38">
        <f>ROUND(_xlfn.XLOOKUP($B35,'[1]Detalle de Ingresos'!$D$49:$AS$49,'[1]Detalle de Ingresos'!$D$43:$AS$43),0)</f>
        <v>19737982</v>
      </c>
      <c r="P35" s="38">
        <f>ROUND(_xlfn.XLOOKUP($B35,'[1]Detalle de Ingresos'!$D$49:$AS$49,'[1]Detalle de Ingresos'!$D$44:$AS$44),0)</f>
        <v>3236005</v>
      </c>
      <c r="Q35" s="38">
        <f>ROUND(_xlfn.XLOOKUP($B35,'[1]Detalle de Ingresos'!$D$49:$AS$49,'[1]Detalle de Ingresos'!$D$45:$AS$45),0)</f>
        <v>264570</v>
      </c>
      <c r="R35" s="38">
        <f>ROUND(_xlfn.XLOOKUP($B35,'[1]Detalle de Ingresos'!$D$49:$AS$49,'[1]Detalle de Ingresos'!$D$46:$AS$46),0)</f>
        <v>0</v>
      </c>
      <c r="S35" s="38">
        <f t="shared" si="0"/>
        <v>23238557</v>
      </c>
      <c r="T35" s="37">
        <f t="shared" si="1"/>
        <v>-16756859</v>
      </c>
    </row>
    <row r="36" spans="2:20" ht="15.75" thickBot="1" x14ac:dyDescent="0.3">
      <c r="B36" s="7" t="s">
        <v>83</v>
      </c>
      <c r="C36" s="13" t="s">
        <v>84</v>
      </c>
      <c r="D36" s="14" t="s">
        <v>10</v>
      </c>
      <c r="E36" s="15">
        <v>2008</v>
      </c>
      <c r="F36" s="15">
        <v>2009</v>
      </c>
      <c r="G36" s="16">
        <v>43040</v>
      </c>
      <c r="H36" s="39">
        <f>VLOOKUP($B36,'Ingresos PR'!$B$6:$K$48,7,FALSE)</f>
        <v>5418232</v>
      </c>
      <c r="I36" s="39">
        <f>ROUND(INDEX('Ingresos Arrendamiento'!$BP$6:$BS$51,MATCH($B36,'Ingresos Arrendamiento'!$B$6:$B$51,0),MATCH(I$4,'Ingresos Arrendamiento'!$BP$5:$BS$5,0)),0)</f>
        <v>4306444</v>
      </c>
      <c r="J36" s="39">
        <f>VLOOKUP($B36,'Ingresos PR'!$B$6:$K$48,9,FALSE)</f>
        <v>5418232</v>
      </c>
      <c r="K36" s="39">
        <f>ROUND(INDEX('Ingresos Arrendamiento'!$BV$6:$BY$51,MATCH($B36,'Ingresos Arrendamiento'!$B$6:$B$51,0),MATCH(K$4,'Ingresos Arrendamiento'!$BV$5:$BY$5,0)),0)</f>
        <v>4306444</v>
      </c>
      <c r="L36" s="39">
        <f>VLOOKUP($B36,'Ingresos PR'!$B$6:$K$48,10,FALSE)</f>
        <v>5629132</v>
      </c>
      <c r="M36" s="39">
        <f>ROUND(INDEX(NOI!$BC$6:$BF$48,MATCH($B36,NOI!$B$6:$B$48,0),MATCH(M$4,NOI!$BC$5:$BF$5,0)),0)</f>
        <v>3392292</v>
      </c>
      <c r="O36" s="39">
        <f>ROUND(_xlfn.XLOOKUP($B36,'[1]Detalle de Ingresos'!$D$49:$AS$49,'[1]Detalle de Ingresos'!$D$43:$AS$43),0)</f>
        <v>16286509</v>
      </c>
      <c r="P36" s="39">
        <f>ROUND(_xlfn.XLOOKUP($B36,'[1]Detalle de Ingresos'!$D$49:$AS$49,'[1]Detalle de Ingresos'!$D$44:$AS$44),0)</f>
        <v>2203259</v>
      </c>
      <c r="Q36" s="39">
        <f>ROUND(_xlfn.XLOOKUP($B36,'[1]Detalle de Ingresos'!$D$49:$AS$49,'[1]Detalle de Ingresos'!$D$45:$AS$45),0)</f>
        <v>0</v>
      </c>
      <c r="R36" s="39">
        <f>ROUND(_xlfn.XLOOKUP($B36,'[1]Detalle de Ingresos'!$D$49:$AS$49,'[1]Detalle de Ingresos'!$D$46:$AS$46),0)</f>
        <v>10000</v>
      </c>
      <c r="S36" s="39">
        <f t="shared" si="0"/>
        <v>18499768</v>
      </c>
      <c r="T36" s="37">
        <f t="shared" si="1"/>
        <v>-13081536</v>
      </c>
    </row>
    <row r="37" spans="2:20" ht="15.75" thickBot="1" x14ac:dyDescent="0.3">
      <c r="B37" s="7" t="s">
        <v>85</v>
      </c>
      <c r="C37" s="8" t="s">
        <v>86</v>
      </c>
      <c r="D37" s="9" t="s">
        <v>10</v>
      </c>
      <c r="E37" s="10">
        <v>2007</v>
      </c>
      <c r="F37" s="10">
        <v>2011</v>
      </c>
      <c r="G37" s="11">
        <v>43040</v>
      </c>
      <c r="H37" s="38">
        <f>VLOOKUP($B37,'Ingresos PR'!$B$6:$K$48,7,FALSE)</f>
        <v>6923544</v>
      </c>
      <c r="I37" s="38">
        <f>ROUND(INDEX('Ingresos Arrendamiento'!$BP$6:$BS$51,MATCH($B37,'Ingresos Arrendamiento'!$B$6:$B$51,0),MATCH(I$4,'Ingresos Arrendamiento'!$BP$5:$BS$5,0)),0)</f>
        <v>6463771</v>
      </c>
      <c r="J37" s="38">
        <f>VLOOKUP($B37,'Ingresos PR'!$B$6:$K$48,9,FALSE)</f>
        <v>6923544</v>
      </c>
      <c r="K37" s="38">
        <f>ROUND(INDEX('Ingresos Arrendamiento'!$BV$6:$BY$51,MATCH($B37,'Ingresos Arrendamiento'!$B$6:$B$51,0),MATCH(K$4,'Ingresos Arrendamiento'!$BV$5:$BY$5,0)),0)</f>
        <v>6463771</v>
      </c>
      <c r="L37" s="38">
        <f>VLOOKUP($B37,'Ingresos PR'!$B$6:$K$48,10,FALSE)</f>
        <v>4617032</v>
      </c>
      <c r="M37" s="38">
        <f>ROUND(INDEX(NOI!$BC$6:$BF$48,MATCH($B37,NOI!$B$6:$B$48,0),MATCH(M$4,NOI!$BC$5:$BF$5,0)),0)</f>
        <v>4633847</v>
      </c>
      <c r="O37" s="38">
        <f>ROUND(_xlfn.XLOOKUP($B37,'[1]Detalle de Ingresos'!$D$49:$AS$49,'[1]Detalle de Ingresos'!$D$43:$AS$43),0)</f>
        <v>22501525</v>
      </c>
      <c r="P37" s="38">
        <f>ROUND(_xlfn.XLOOKUP($B37,'[1]Detalle de Ingresos'!$D$49:$AS$49,'[1]Detalle de Ingresos'!$D$44:$AS$44),0)</f>
        <v>2874576</v>
      </c>
      <c r="Q37" s="38">
        <f>ROUND(_xlfn.XLOOKUP($B37,'[1]Detalle de Ingresos'!$D$49:$AS$49,'[1]Detalle de Ingresos'!$D$45:$AS$45),0)</f>
        <v>0</v>
      </c>
      <c r="R37" s="38">
        <f>ROUND(_xlfn.XLOOKUP($B37,'[1]Detalle de Ingresos'!$D$49:$AS$49,'[1]Detalle de Ingresos'!$D$46:$AS$46),0)</f>
        <v>27007</v>
      </c>
      <c r="S37" s="38">
        <f t="shared" si="0"/>
        <v>25403108</v>
      </c>
      <c r="T37" s="37">
        <f t="shared" si="1"/>
        <v>-18479564</v>
      </c>
    </row>
    <row r="38" spans="2:20" ht="23.25" thickBot="1" x14ac:dyDescent="0.3">
      <c r="B38" s="7" t="s">
        <v>87</v>
      </c>
      <c r="C38" s="13" t="s">
        <v>88</v>
      </c>
      <c r="D38" s="14" t="s">
        <v>50</v>
      </c>
      <c r="E38" s="15">
        <v>2014</v>
      </c>
      <c r="F38" s="15">
        <v>2017</v>
      </c>
      <c r="G38" s="16">
        <v>41944</v>
      </c>
      <c r="H38" s="39">
        <f>VLOOKUP($B38,'Ingresos PR'!$B$6:$K$48,7,FALSE)</f>
        <v>4974821</v>
      </c>
      <c r="I38" s="39">
        <f>ROUND(INDEX('Ingresos Arrendamiento'!$BP$6:$BS$51,MATCH($B38,'Ingresos Arrendamiento'!$B$6:$B$51,0),MATCH(I$4,'Ingresos Arrendamiento'!$BP$5:$BS$5,0)),0)</f>
        <v>1475403</v>
      </c>
      <c r="J38" s="39">
        <f>VLOOKUP($B38,'Ingresos PR'!$B$6:$K$48,9,FALSE)</f>
        <v>4974821</v>
      </c>
      <c r="K38" s="39">
        <f>ROUND(INDEX('Ingresos Arrendamiento'!$BV$6:$BY$51,MATCH($B38,'Ingresos Arrendamiento'!$B$6:$B$51,0),MATCH(K$4,'Ingresos Arrendamiento'!$BV$5:$BY$5,0)),0)</f>
        <v>1475403</v>
      </c>
      <c r="L38" s="39">
        <f>VLOOKUP($B38,'Ingresos PR'!$B$6:$K$48,10,FALSE)</f>
        <v>2005303</v>
      </c>
      <c r="M38" s="39">
        <f>ROUND(INDEX(NOI!$BC$6:$BF$48,MATCH($B38,NOI!$B$6:$B$48,0),MATCH(M$4,NOI!$BC$5:$BF$5,0)),0)</f>
        <v>1510282</v>
      </c>
      <c r="O38" s="39">
        <f>ROUND(_xlfn.XLOOKUP($B38,'[1]Detalle de Ingresos'!$D$49:$AS$49,'[1]Detalle de Ingresos'!$D$43:$AS$43),0)</f>
        <v>5220818</v>
      </c>
      <c r="P38" s="39">
        <f>ROUND(_xlfn.XLOOKUP($B38,'[1]Detalle de Ingresos'!$D$49:$AS$49,'[1]Detalle de Ingresos'!$D$44:$AS$44),0)</f>
        <v>2505247</v>
      </c>
      <c r="Q38" s="39">
        <f>ROUND(_xlfn.XLOOKUP($B38,'[1]Detalle de Ingresos'!$D$49:$AS$49,'[1]Detalle de Ingresos'!$D$45:$AS$45),0)</f>
        <v>569745</v>
      </c>
      <c r="R38" s="39">
        <f>ROUND(_xlfn.XLOOKUP($B38,'[1]Detalle de Ingresos'!$D$49:$AS$49,'[1]Detalle de Ingresos'!$D$46:$AS$46),0)</f>
        <v>331422</v>
      </c>
      <c r="S38" s="39">
        <f t="shared" si="0"/>
        <v>8627232</v>
      </c>
      <c r="T38" s="37">
        <f t="shared" si="1"/>
        <v>-3652411</v>
      </c>
    </row>
    <row r="39" spans="2:20" ht="15.75" thickBot="1" x14ac:dyDescent="0.3">
      <c r="B39" s="7" t="s">
        <v>89</v>
      </c>
      <c r="C39" s="8" t="s">
        <v>90</v>
      </c>
      <c r="D39" s="9" t="s">
        <v>19</v>
      </c>
      <c r="E39" s="10">
        <v>2015</v>
      </c>
      <c r="F39" s="10">
        <v>2017</v>
      </c>
      <c r="G39" s="11">
        <v>42248</v>
      </c>
      <c r="H39" s="38">
        <f>VLOOKUP($B39,'Ingresos PR'!$B$6:$K$48,7,FALSE)</f>
        <v>18865399</v>
      </c>
      <c r="I39" s="38">
        <f>ROUND(INDEX('Ingresos Arrendamiento'!$BP$6:$BS$51,MATCH($B39,'Ingresos Arrendamiento'!$B$6:$B$51,0),MATCH(I$4,'Ingresos Arrendamiento'!$BP$5:$BS$5,0)),0)</f>
        <v>16109134</v>
      </c>
      <c r="J39" s="38">
        <f>VLOOKUP($B39,'Ingresos PR'!$B$6:$K$48,9,FALSE)</f>
        <v>18865399</v>
      </c>
      <c r="K39" s="38">
        <f>ROUND(INDEX('Ingresos Arrendamiento'!$BV$6:$BY$51,MATCH($B39,'Ingresos Arrendamiento'!$B$6:$B$51,0),MATCH(K$4,'Ingresos Arrendamiento'!$BV$5:$BY$5,0)),0)</f>
        <v>16109134</v>
      </c>
      <c r="L39" s="38">
        <f>VLOOKUP($B39,'Ingresos PR'!$B$6:$K$48,10,FALSE)</f>
        <v>15679263</v>
      </c>
      <c r="M39" s="38">
        <f>ROUND(INDEX(NOI!$BC$6:$BF$48,MATCH($B39,NOI!$B$6:$B$48,0),MATCH(M$4,NOI!$BC$5:$BF$5,0)),0)</f>
        <v>12723209</v>
      </c>
      <c r="O39" s="38">
        <f>ROUND(_xlfn.XLOOKUP($B39,'[1]Detalle de Ingresos'!$D$49:$AS$49,'[1]Detalle de Ingresos'!$D$43:$AS$43),0)</f>
        <v>61604356</v>
      </c>
      <c r="P39" s="38">
        <f>ROUND(_xlfn.XLOOKUP($B39,'[1]Detalle de Ingresos'!$D$49:$AS$49,'[1]Detalle de Ingresos'!$D$44:$AS$44),0)</f>
        <v>7362926</v>
      </c>
      <c r="Q39" s="38">
        <f>ROUND(_xlfn.XLOOKUP($B39,'[1]Detalle de Ingresos'!$D$49:$AS$49,'[1]Detalle de Ingresos'!$D$45:$AS$45),0)</f>
        <v>0</v>
      </c>
      <c r="R39" s="38">
        <f>ROUND(_xlfn.XLOOKUP($B39,'[1]Detalle de Ingresos'!$D$49:$AS$49,'[1]Detalle de Ingresos'!$D$46:$AS$46),0)</f>
        <v>190656</v>
      </c>
      <c r="S39" s="38">
        <f t="shared" si="0"/>
        <v>69157938</v>
      </c>
      <c r="T39" s="37">
        <f t="shared" si="1"/>
        <v>-50292539</v>
      </c>
    </row>
    <row r="40" spans="2:20" ht="15.75" thickBot="1" x14ac:dyDescent="0.3">
      <c r="C40" s="18" t="s">
        <v>91</v>
      </c>
      <c r="D40" s="14"/>
      <c r="E40" s="14"/>
      <c r="F40" s="14"/>
      <c r="G40" s="14"/>
      <c r="H40" s="40">
        <f t="shared" ref="H40:M40" si="2">SUM(H7:H39)</f>
        <v>369463313</v>
      </c>
      <c r="I40" s="40">
        <f t="shared" si="2"/>
        <v>307788868</v>
      </c>
      <c r="J40" s="40">
        <f t="shared" si="2"/>
        <v>369463313</v>
      </c>
      <c r="K40" s="40">
        <f t="shared" si="2"/>
        <v>307788868</v>
      </c>
      <c r="L40" s="40">
        <f t="shared" si="2"/>
        <v>280875300</v>
      </c>
      <c r="M40" s="40">
        <f t="shared" si="2"/>
        <v>227251803</v>
      </c>
      <c r="O40" s="40">
        <f>SUM(O7:O39)</f>
        <v>1123008504</v>
      </c>
      <c r="P40" s="40">
        <f>SUM(P7:P39)</f>
        <v>154554347</v>
      </c>
      <c r="Q40" s="40">
        <f>SUM(Q7:Q39)</f>
        <v>27341741</v>
      </c>
      <c r="R40" s="40">
        <f>SUM(R7:R39)</f>
        <v>6919846</v>
      </c>
      <c r="S40" s="40">
        <f>SUM(S7:S39)</f>
        <v>1311824438</v>
      </c>
      <c r="T40" s="37">
        <f t="shared" si="1"/>
        <v>-942361125</v>
      </c>
    </row>
    <row r="41" spans="2:20" ht="15.75" thickBot="1" x14ac:dyDescent="0.3"/>
    <row r="42" spans="2:20" ht="15.75" thickBot="1" x14ac:dyDescent="0.3">
      <c r="B42" s="20" t="s">
        <v>92</v>
      </c>
      <c r="C42" s="8" t="s">
        <v>93</v>
      </c>
      <c r="D42" s="9"/>
      <c r="E42" s="9"/>
      <c r="F42" s="9"/>
      <c r="G42" s="9"/>
      <c r="H42" s="38">
        <f>VLOOKUP($B42,'Ingresos PR'!$B$6:$K$48,7,FALSE)</f>
        <v>80348</v>
      </c>
      <c r="I42" s="38">
        <f>ROUND(INDEX('Ingresos Arrendamiento'!$BP$6:$BS$51,MATCH($B42,'Ingresos Arrendamiento'!$B$6:$B$51,0),MATCH(I$4,'Ingresos Arrendamiento'!$BP$5:$BS$5,0)),0)-1</f>
        <v>10762187</v>
      </c>
      <c r="J42" s="38">
        <f>VLOOKUP($B42,'Ingresos PR'!$B$6:$K$48,9,FALSE)</f>
        <v>80348</v>
      </c>
      <c r="K42" s="38">
        <f>ROUND(INDEX('Ingresos Arrendamiento'!$BV$6:$BY$51,MATCH($B42,'Ingresos Arrendamiento'!$B$6:$B$51,0),MATCH(K$4,'Ingresos Arrendamiento'!$BV$5:$BY$5,0)),0)-1</f>
        <v>10762187</v>
      </c>
      <c r="L42" s="38">
        <f>VLOOKUP($B42,'Ingresos PR'!$B$6:$K$48,10,FALSE)</f>
        <v>0</v>
      </c>
      <c r="M42" s="38">
        <v>0</v>
      </c>
    </row>
    <row r="43" spans="2:20" ht="15.75" thickBot="1" x14ac:dyDescent="0.3">
      <c r="B43" s="20"/>
      <c r="C43" s="18" t="s">
        <v>238</v>
      </c>
      <c r="D43" s="14"/>
      <c r="E43" s="14"/>
      <c r="F43" s="14"/>
      <c r="G43" s="14"/>
      <c r="H43" s="40">
        <f t="shared" ref="H43:M43" si="3">+H40+H42</f>
        <v>369543661</v>
      </c>
      <c r="I43" s="40">
        <f t="shared" si="3"/>
        <v>318551055</v>
      </c>
      <c r="J43" s="40">
        <f t="shared" si="3"/>
        <v>369543661</v>
      </c>
      <c r="K43" s="40">
        <f t="shared" si="3"/>
        <v>318551055</v>
      </c>
      <c r="L43" s="40">
        <f t="shared" si="3"/>
        <v>280875300</v>
      </c>
      <c r="M43" s="40">
        <f t="shared" si="3"/>
        <v>227251803</v>
      </c>
    </row>
    <row r="44" spans="2:20" ht="15.75" thickBot="1" x14ac:dyDescent="0.3">
      <c r="H44" s="21"/>
      <c r="I44" s="72"/>
      <c r="J44" s="21"/>
      <c r="K44" s="21"/>
      <c r="L44" s="21"/>
      <c r="M44" s="21"/>
    </row>
    <row r="45" spans="2:20" ht="15.75" customHeight="1" thickBot="1" x14ac:dyDescent="0.3">
      <c r="C45" s="79" t="s">
        <v>94</v>
      </c>
      <c r="D45" s="79" t="s">
        <v>1</v>
      </c>
      <c r="E45" s="79" t="s">
        <v>2</v>
      </c>
      <c r="F45" s="79" t="s">
        <v>3</v>
      </c>
      <c r="G45" s="79" t="s">
        <v>4</v>
      </c>
      <c r="H45" s="79" t="str">
        <f>H5</f>
        <v>Ingreso por arrendamiento 1T22 (Ps.)</v>
      </c>
      <c r="I45" s="79" t="str">
        <f>I5</f>
        <v>Ingreso por arrendamiento 1T21 (Ps.)</v>
      </c>
      <c r="J45" s="79" t="str">
        <f>J5</f>
        <v>Ingreso por arrendamiento 
3M22 (Ps.)</v>
      </c>
      <c r="K45" s="79" t="str">
        <f>K5</f>
        <v>Ingreso por arrendamiento 
3M21 (Ps.)</v>
      </c>
      <c r="L45" s="5" t="s">
        <v>6</v>
      </c>
      <c r="M45" s="5" t="s">
        <v>6</v>
      </c>
    </row>
    <row r="46" spans="2:20" ht="15.75" thickBot="1" x14ac:dyDescent="0.3">
      <c r="C46" s="79"/>
      <c r="D46" s="79"/>
      <c r="E46" s="79"/>
      <c r="F46" s="79"/>
      <c r="G46" s="79"/>
      <c r="H46" s="79"/>
      <c r="I46" s="79"/>
      <c r="J46" s="79"/>
      <c r="K46" s="79"/>
      <c r="L46" s="5" t="str">
        <f>L6</f>
        <v>3M22 (Ps.)</v>
      </c>
      <c r="M46" s="5" t="str">
        <f>M6</f>
        <v>3M21 (Ps.)</v>
      </c>
    </row>
    <row r="47" spans="2:20" ht="15.75" thickBot="1" x14ac:dyDescent="0.3">
      <c r="B47" s="7" t="s">
        <v>95</v>
      </c>
      <c r="C47" s="8" t="s">
        <v>96</v>
      </c>
      <c r="D47" s="9" t="s">
        <v>97</v>
      </c>
      <c r="E47" s="10">
        <v>2006</v>
      </c>
      <c r="F47" s="10">
        <v>2007</v>
      </c>
      <c r="G47" s="11">
        <v>206</v>
      </c>
      <c r="H47" s="38">
        <f>VLOOKUP($B47,'Ingresos PR'!$B$6:$K$48,7,FALSE)</f>
        <v>27001576</v>
      </c>
      <c r="I47" s="38">
        <f>ROUND(INDEX('Ingresos Arrendamiento'!$BP$6:$BS$51,MATCH($B47,'Ingresos Arrendamiento'!$B$6:$B$51,0),MATCH(I$4,'Ingresos Arrendamiento'!$BP$5:$BS$5,0))*$N47,0)</f>
        <v>18754007</v>
      </c>
      <c r="J47" s="38">
        <f>VLOOKUP($B47,'Ingresos PR'!$B$6:$K$48,9,FALSE)</f>
        <v>27001576</v>
      </c>
      <c r="K47" s="38">
        <f>ROUND(INDEX('Ingresos Arrendamiento'!$BV$6:$BY$51,MATCH($B47,'Ingresos Arrendamiento'!$B$6:$B$51,0),MATCH(K$4,'Ingresos Arrendamiento'!$BV$5:$BY$5,0))*$N47,0)-1</f>
        <v>18754006</v>
      </c>
      <c r="L47" s="38">
        <f>VLOOKUP($B47,'Ingresos PR'!$B$6:$K$48,10,FALSE)-1</f>
        <v>23533995</v>
      </c>
      <c r="M47" s="38">
        <f>ROUND(INDEX(NOI!$BC$6:$BF$48,MATCH($B47,NOI!$B$6:$B$48,0),MATCH(M$4,NOI!$BC$5:$BF$5,0))*$N47,0)-1</f>
        <v>14629638</v>
      </c>
      <c r="N47" s="49">
        <v>0.4</v>
      </c>
      <c r="O47" s="38">
        <f>ROUND(_xlfn.XLOOKUP($B47,'[1]Detalle de Ingresos'!$D$49:$AS$49,'[1]Detalle de Ingresos'!$D$43:$AS$43)*N47,0)+1</f>
        <v>76519286</v>
      </c>
      <c r="P47" s="38">
        <f>ROUND(_xlfn.XLOOKUP($B47,'[1]Detalle de Ingresos'!$D$49:$AS$49,'[1]Detalle de Ingresos'!$D$44:$AS$44)*N47,0)+1</f>
        <v>11089566</v>
      </c>
      <c r="Q47" s="38">
        <f>ROUND(_xlfn.XLOOKUP($B47,'[1]Detalle de Ingresos'!$D$49:$AS$49,'[1]Detalle de Ingresos'!$D$45:$AS$45)*N47,0)</f>
        <v>3706678</v>
      </c>
      <c r="R47" s="38">
        <f>ROUND(_xlfn.XLOOKUP($B47,'[1]Detalle de Ingresos'!$D$49:$AS$49,'[1]Detalle de Ingresos'!$D$46:$AS$46)*N47,0)</f>
        <v>908758</v>
      </c>
      <c r="S47" s="38">
        <f>SUM(O47:R47)</f>
        <v>92224288</v>
      </c>
      <c r="T47" s="37">
        <f>J47-S47</f>
        <v>-65222712</v>
      </c>
    </row>
    <row r="48" spans="2:20" ht="15.75" thickBot="1" x14ac:dyDescent="0.3">
      <c r="B48" s="7" t="s">
        <v>98</v>
      </c>
      <c r="C48" s="13" t="s">
        <v>99</v>
      </c>
      <c r="D48" s="14" t="s">
        <v>100</v>
      </c>
      <c r="E48" s="15">
        <v>2011</v>
      </c>
      <c r="F48" s="15">
        <v>2011</v>
      </c>
      <c r="G48" s="16">
        <v>2011</v>
      </c>
      <c r="H48" s="39">
        <f>VLOOKUP($B48,'Ingresos PR'!$B$6:$K$48,7,FALSE)</f>
        <v>8934210</v>
      </c>
      <c r="I48" s="39">
        <f>ROUND(INDEX('Ingresos Arrendamiento'!$BP$6:$BS$51,MATCH($B48,'Ingresos Arrendamiento'!$B$6:$B$51,0),MATCH(I$4,'Ingresos Arrendamiento'!$BP$5:$BS$5,0))*$N48,0)</f>
        <v>0</v>
      </c>
      <c r="J48" s="39">
        <f>VLOOKUP($B48,'Ingresos PR'!$B$6:$K$48,9,FALSE)</f>
        <v>8934210</v>
      </c>
      <c r="K48" s="39">
        <f>ROUND(INDEX('Ingresos Arrendamiento'!$BV$6:$BY$51,MATCH($B48,'Ingresos Arrendamiento'!$B$6:$B$51,0),MATCH(K$4,'Ingresos Arrendamiento'!$BV$5:$BY$5,0))*$N48,0)</f>
        <v>0</v>
      </c>
      <c r="L48" s="39">
        <f>VLOOKUP($B48,'Ingresos PR'!$B$6:$K$48,10,FALSE)</f>
        <v>7554472</v>
      </c>
      <c r="M48" s="39">
        <f>ROUND(INDEX(NOI!$BC$6:$BF$48,MATCH($B48,NOI!$B$6:$B$48,0),MATCH(M$4,NOI!$BC$5:$BF$5,0))*$N48,0)</f>
        <v>0</v>
      </c>
      <c r="N48" s="49">
        <v>0.05</v>
      </c>
      <c r="O48" s="38">
        <f>ROUND(_xlfn.XLOOKUP($B48,'[1]Detalle de Ingresos'!$D$49:$AS$49,'[1]Detalle de Ingresos'!$D$43:$AS$43)*N48,0)-1</f>
        <v>1484252</v>
      </c>
      <c r="P48" s="38">
        <f>ROUND(_xlfn.XLOOKUP($B48,'[1]Detalle de Ingresos'!$D$49:$AS$49,'[1]Detalle de Ingresos'!$D$44:$AS$44)*N48,0)</f>
        <v>187861</v>
      </c>
      <c r="Q48" s="38">
        <f>ROUND(_xlfn.XLOOKUP($B48,'[1]Detalle de Ingresos'!$D$49:$AS$49,'[1]Detalle de Ingresos'!$D$45:$AS$45)*N48,0)</f>
        <v>0</v>
      </c>
      <c r="R48" s="38">
        <f>ROUND(_xlfn.XLOOKUP($B48,'[1]Detalle de Ingresos'!$D$49:$AS$49,'[1]Detalle de Ingresos'!$D$46:$AS$46)*N48,0)</f>
        <v>0</v>
      </c>
      <c r="S48" s="38">
        <f>SUM(O48:R48)</f>
        <v>1672113</v>
      </c>
      <c r="T48" s="37">
        <f>J48-S48</f>
        <v>7262097</v>
      </c>
    </row>
    <row r="49" spans="2:20" ht="15.75" thickBot="1" x14ac:dyDescent="0.3">
      <c r="B49" s="7" t="s">
        <v>101</v>
      </c>
      <c r="C49" s="8" t="s">
        <v>102</v>
      </c>
      <c r="D49" s="9" t="s">
        <v>103</v>
      </c>
      <c r="E49" s="10">
        <v>2011</v>
      </c>
      <c r="F49" s="10">
        <v>2011</v>
      </c>
      <c r="G49" s="11">
        <v>2011</v>
      </c>
      <c r="H49" s="38">
        <f>VLOOKUP($B49,'Ingresos PR'!$B$6:$K$48,7,FALSE)</f>
        <v>2938869</v>
      </c>
      <c r="I49" s="38">
        <f>ROUND(INDEX('Ingresos Arrendamiento'!$BP$6:$BS$51,MATCH($B49,'Ingresos Arrendamiento'!$B$6:$B$51,0),MATCH(I$4,'Ingresos Arrendamiento'!$BP$5:$BS$5,0))*$N49,0)</f>
        <v>0</v>
      </c>
      <c r="J49" s="38">
        <f>VLOOKUP($B49,'Ingresos PR'!$B$6:$K$48,9,FALSE)</f>
        <v>2938869</v>
      </c>
      <c r="K49" s="38">
        <f>ROUND(INDEX('Ingresos Arrendamiento'!$BV$6:$BY$51,MATCH($B49,'Ingresos Arrendamiento'!$B$6:$B$51,0),MATCH(K$4,'Ingresos Arrendamiento'!$BV$5:$BY$5,0))*$N49,0)</f>
        <v>0</v>
      </c>
      <c r="L49" s="38">
        <f>VLOOKUP($B49,'Ingresos PR'!$B$6:$K$48,10,FALSE)</f>
        <v>2168852</v>
      </c>
      <c r="M49" s="38">
        <f>ROUND(INDEX(NOI!$BC$6:$BF$48,MATCH($B49,NOI!$B$6:$B$48,0),MATCH(M$4,NOI!$BC$5:$BF$5,0))*$N49,0)</f>
        <v>0</v>
      </c>
      <c r="N49" s="49">
        <v>0.05</v>
      </c>
      <c r="O49" s="38">
        <f>ROUND(_xlfn.XLOOKUP($B49,'[1]Detalle de Ingresos'!$D$49:$AS$49,'[1]Detalle de Ingresos'!$D$43:$AS$43)*N49,0)</f>
        <v>544385</v>
      </c>
      <c r="P49" s="38">
        <f>ROUND(_xlfn.XLOOKUP($B49,'[1]Detalle de Ingresos'!$D$49:$AS$49,'[1]Detalle de Ingresos'!$D$44:$AS$44)*N49,0)</f>
        <v>57469</v>
      </c>
      <c r="Q49" s="38">
        <f>ROUND(_xlfn.XLOOKUP($B49,'[1]Detalle de Ingresos'!$D$49:$AS$49,'[1]Detalle de Ingresos'!$D$45:$AS$45)*N49,0)</f>
        <v>0</v>
      </c>
      <c r="R49" s="38">
        <f>ROUND(_xlfn.XLOOKUP($B49,'[1]Detalle de Ingresos'!$D$49:$AS$49,'[1]Detalle de Ingresos'!$D$46:$AS$46)*N49,0)</f>
        <v>202</v>
      </c>
      <c r="S49" s="38">
        <f>SUM(O49:R49)</f>
        <v>602056</v>
      </c>
      <c r="T49" s="37">
        <f>J49-S49</f>
        <v>2336813</v>
      </c>
    </row>
    <row r="50" spans="2:20" ht="21.75" thickBot="1" x14ac:dyDescent="0.3">
      <c r="C50" s="22" t="s">
        <v>104</v>
      </c>
      <c r="D50" s="14"/>
      <c r="E50" s="14"/>
      <c r="F50" s="14"/>
      <c r="G50" s="14"/>
      <c r="H50" s="40">
        <f t="shared" ref="H50:S50" si="4">SUM(H47:H49)</f>
        <v>38874655</v>
      </c>
      <c r="I50" s="40">
        <f t="shared" si="4"/>
        <v>18754007</v>
      </c>
      <c r="J50" s="40">
        <f t="shared" si="4"/>
        <v>38874655</v>
      </c>
      <c r="K50" s="40">
        <f t="shared" si="4"/>
        <v>18754006</v>
      </c>
      <c r="L50" s="40">
        <f t="shared" si="4"/>
        <v>33257319</v>
      </c>
      <c r="M50" s="40">
        <f t="shared" si="4"/>
        <v>14629638</v>
      </c>
      <c r="O50" s="40">
        <f t="shared" si="4"/>
        <v>78547923</v>
      </c>
      <c r="P50" s="40">
        <f t="shared" si="4"/>
        <v>11334896</v>
      </c>
      <c r="Q50" s="40">
        <f t="shared" si="4"/>
        <v>3706678</v>
      </c>
      <c r="R50" s="40">
        <f t="shared" si="4"/>
        <v>908960</v>
      </c>
      <c r="S50" s="40">
        <f t="shared" si="4"/>
        <v>94498457</v>
      </c>
      <c r="T50" s="37">
        <f>J50-S50</f>
        <v>-55623802</v>
      </c>
    </row>
    <row r="51" spans="2:20" ht="15.75" thickBot="1" x14ac:dyDescent="0.3">
      <c r="H51" s="37"/>
      <c r="I51" s="37"/>
      <c r="J51" s="37"/>
      <c r="K51" s="37"/>
      <c r="L51" s="37"/>
      <c r="M51" s="37"/>
    </row>
    <row r="52" spans="2:20" ht="15.75" thickBot="1" x14ac:dyDescent="0.3">
      <c r="C52" s="18" t="s">
        <v>237</v>
      </c>
      <c r="D52" s="14"/>
      <c r="E52" s="14"/>
      <c r="F52" s="14"/>
      <c r="G52" s="14"/>
      <c r="H52" s="40">
        <f t="shared" ref="H52:M52" si="5">+H43+H50</f>
        <v>408418316</v>
      </c>
      <c r="I52" s="40">
        <f t="shared" si="5"/>
        <v>337305062</v>
      </c>
      <c r="J52" s="40">
        <f t="shared" si="5"/>
        <v>408418316</v>
      </c>
      <c r="K52" s="40">
        <f t="shared" si="5"/>
        <v>337305061</v>
      </c>
      <c r="L52" s="40">
        <f t="shared" si="5"/>
        <v>314132619</v>
      </c>
      <c r="M52" s="40">
        <f t="shared" si="5"/>
        <v>241881441</v>
      </c>
    </row>
    <row r="53" spans="2:20" ht="15.75" thickBot="1" x14ac:dyDescent="0.3">
      <c r="C53" s="68" t="s">
        <v>302</v>
      </c>
      <c r="D53" s="69"/>
      <c r="E53" s="69"/>
      <c r="F53" s="69"/>
      <c r="G53" s="69"/>
      <c r="H53" s="40">
        <f>ROUND(INDEX('Ingresos Arrendamiento'!$AF$62:$AI$62,1,MATCH($H$4,'Ingresos Arrendamiento'!$AF$5:$AI$5,0)),0)-H52</f>
        <v>0</v>
      </c>
      <c r="I53" s="40">
        <f>ROUND(INDEX('Ingresos Arrendamiento'!$BP$62:$BS$62,1,MATCH(I$4,'Ingresos Arrendamiento'!$BP$5:$BS$5,0)),0)-I52</f>
        <v>551704</v>
      </c>
      <c r="J53" s="40">
        <f>ROUND(INDEX('Ingresos Arrendamiento'!$AL$62:$AO$62,1,MATCH(Comparativo!$J$4,'Ingresos Arrendamiento'!$AL$5:$AO$5,0)),0)-J52</f>
        <v>0</v>
      </c>
      <c r="K53" s="40">
        <f>ROUND(INDEX('Ingresos Arrendamiento'!$BV$62:$BY$62,1,MATCH(K$4,'Ingresos Arrendamiento'!$BV$5:$BY$5,0)),0)-K52</f>
        <v>551705</v>
      </c>
      <c r="L53" s="40">
        <f>ROUND(INDEX(NOI!$AC$59:$AF$59,1,MATCH(Comparativo!L$4,NOI!$AC$5:$AF$5,0)),0)-Comparativo!L52</f>
        <v>1</v>
      </c>
      <c r="M53" s="40">
        <f>ROUND(INDEX(NOI!$BC$59:$BF$59,1,MATCH(M$4,NOI!$BC$5:$BF$5,0)),0)-M52</f>
        <v>448052</v>
      </c>
    </row>
    <row r="54" spans="2:20" x14ac:dyDescent="0.25">
      <c r="H54" s="23"/>
      <c r="I54" s="23"/>
      <c r="J54" s="23"/>
      <c r="K54" s="23"/>
    </row>
    <row r="55" spans="2:20" x14ac:dyDescent="0.25">
      <c r="B55">
        <v>1</v>
      </c>
    </row>
    <row r="56" spans="2:20" x14ac:dyDescent="0.25">
      <c r="H56" s="23"/>
      <c r="I56" s="23"/>
      <c r="J56" s="24"/>
      <c r="K56" s="24"/>
      <c r="N56" s="37"/>
    </row>
    <row r="57" spans="2:20" x14ac:dyDescent="0.25">
      <c r="H57" s="23"/>
      <c r="I57" s="23"/>
      <c r="J57" s="24"/>
      <c r="K57" s="24"/>
    </row>
    <row r="58" spans="2:20" x14ac:dyDescent="0.25">
      <c r="H58" s="23"/>
      <c r="I58" s="23"/>
      <c r="J58" s="24"/>
      <c r="K58" s="24"/>
    </row>
    <row r="59" spans="2:20" x14ac:dyDescent="0.25">
      <c r="H59" s="23"/>
      <c r="I59" s="23"/>
    </row>
    <row r="60" spans="2:20" x14ac:dyDescent="0.25">
      <c r="H60" s="23"/>
      <c r="I60" s="23"/>
    </row>
    <row r="61" spans="2:20" x14ac:dyDescent="0.25">
      <c r="H61" s="23"/>
      <c r="I61" s="23"/>
    </row>
    <row r="62" spans="2:20" x14ac:dyDescent="0.25">
      <c r="H62" s="23"/>
      <c r="I62" s="23"/>
    </row>
    <row r="63" spans="2:20" x14ac:dyDescent="0.25">
      <c r="H63" s="23"/>
      <c r="I63" s="23"/>
    </row>
    <row r="64" spans="2:20" x14ac:dyDescent="0.25">
      <c r="H64" s="23"/>
      <c r="I64" s="23"/>
    </row>
    <row r="65" spans="8:9" x14ac:dyDescent="0.25">
      <c r="H65" s="23"/>
      <c r="I65" s="23"/>
    </row>
    <row r="66" spans="8:9" x14ac:dyDescent="0.25">
      <c r="H66" s="23"/>
      <c r="I66" s="23"/>
    </row>
    <row r="67" spans="8:9" x14ac:dyDescent="0.25">
      <c r="H67" s="23"/>
      <c r="I67" s="23"/>
    </row>
    <row r="68" spans="8:9" x14ac:dyDescent="0.25">
      <c r="H68" s="23"/>
      <c r="I68" s="23"/>
    </row>
    <row r="69" spans="8:9" x14ac:dyDescent="0.25">
      <c r="H69" s="23"/>
      <c r="I69" s="23"/>
    </row>
    <row r="70" spans="8:9" x14ac:dyDescent="0.25">
      <c r="H70" s="23"/>
      <c r="I70" s="23"/>
    </row>
    <row r="71" spans="8:9" x14ac:dyDescent="0.25">
      <c r="H71" s="23"/>
      <c r="I71" s="23"/>
    </row>
    <row r="72" spans="8:9" x14ac:dyDescent="0.25">
      <c r="H72" s="23"/>
      <c r="I72" s="23"/>
    </row>
    <row r="73" spans="8:9" x14ac:dyDescent="0.25">
      <c r="H73" s="23"/>
      <c r="I73" s="23"/>
    </row>
    <row r="74" spans="8:9" x14ac:dyDescent="0.25">
      <c r="H74" s="23"/>
      <c r="I74" s="23"/>
    </row>
    <row r="75" spans="8:9" x14ac:dyDescent="0.25">
      <c r="H75" s="23"/>
      <c r="I75" s="23"/>
    </row>
    <row r="76" spans="8:9" x14ac:dyDescent="0.25">
      <c r="H76" s="23"/>
      <c r="I76" s="23"/>
    </row>
    <row r="77" spans="8:9" x14ac:dyDescent="0.25">
      <c r="H77" s="23"/>
      <c r="I77" s="23"/>
    </row>
    <row r="78" spans="8:9" x14ac:dyDescent="0.25">
      <c r="H78" s="23"/>
      <c r="I78" s="23"/>
    </row>
    <row r="79" spans="8:9" x14ac:dyDescent="0.25">
      <c r="H79" s="23"/>
      <c r="I79" s="23"/>
    </row>
    <row r="80" spans="8:9" x14ac:dyDescent="0.25">
      <c r="H80" s="23"/>
      <c r="I80" s="23"/>
    </row>
    <row r="81" spans="8:9" x14ac:dyDescent="0.25">
      <c r="H81" s="23"/>
      <c r="I81" s="23"/>
    </row>
    <row r="82" spans="8:9" x14ac:dyDescent="0.25">
      <c r="H82" s="23"/>
      <c r="I82" s="23"/>
    </row>
    <row r="83" spans="8:9" x14ac:dyDescent="0.25">
      <c r="H83" s="23"/>
      <c r="I83" s="23"/>
    </row>
    <row r="84" spans="8:9" x14ac:dyDescent="0.25">
      <c r="H84" s="23"/>
      <c r="I84" s="23"/>
    </row>
    <row r="85" spans="8:9" x14ac:dyDescent="0.25">
      <c r="H85" s="23"/>
      <c r="I85" s="23"/>
    </row>
    <row r="86" spans="8:9" x14ac:dyDescent="0.25">
      <c r="H86" s="23"/>
      <c r="I86" s="23"/>
    </row>
  </sheetData>
  <mergeCells count="23">
    <mergeCell ref="S5:S6"/>
    <mergeCell ref="O5:O6"/>
    <mergeCell ref="P5:P6"/>
    <mergeCell ref="Q5:Q6"/>
    <mergeCell ref="R5:R6"/>
    <mergeCell ref="G45:G46"/>
    <mergeCell ref="G5:G6"/>
    <mergeCell ref="H5:H6"/>
    <mergeCell ref="K5:K6"/>
    <mergeCell ref="K45:K46"/>
    <mergeCell ref="I5:I6"/>
    <mergeCell ref="J5:J6"/>
    <mergeCell ref="H45:H46"/>
    <mergeCell ref="I45:I46"/>
    <mergeCell ref="J45:J46"/>
    <mergeCell ref="C5:C6"/>
    <mergeCell ref="D5:D6"/>
    <mergeCell ref="E5:E6"/>
    <mergeCell ref="F5:F6"/>
    <mergeCell ref="C45:C46"/>
    <mergeCell ref="D45:D46"/>
    <mergeCell ref="E45:E46"/>
    <mergeCell ref="F45:F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Z63"/>
  <sheetViews>
    <sheetView showGridLines="0" zoomScale="80" zoomScaleNormal="80" workbookViewId="0">
      <pane xSplit="7" ySplit="5" topLeftCell="V24" activePane="bottomRight" state="frozen"/>
      <selection pane="topRight" activeCell="H1" sqref="H1"/>
      <selection pane="bottomLeft" activeCell="A4" sqref="A4"/>
      <selection pane="bottomRight" activeCell="AF33" sqref="AF33"/>
    </sheetView>
  </sheetViews>
  <sheetFormatPr baseColWidth="10" defaultRowHeight="15" outlineLevelCol="1" x14ac:dyDescent="0.25"/>
  <cols>
    <col min="1" max="1" width="2.7109375" customWidth="1"/>
    <col min="4" max="4" width="34.7109375" customWidth="1"/>
    <col min="5" max="5" width="26.5703125" customWidth="1"/>
    <col min="6" max="6" width="13.85546875" customWidth="1"/>
    <col min="7" max="7" width="17.42578125" bestFit="1" customWidth="1"/>
    <col min="8" max="8" width="2.7109375" customWidth="1"/>
    <col min="9" max="20" width="13.5703125" customWidth="1" outlineLevel="1"/>
    <col min="21" max="21" width="15.7109375" customWidth="1"/>
    <col min="22" max="22" width="2.7109375" customWidth="1"/>
    <col min="23" max="26" width="14.140625" customWidth="1" outlineLevel="1"/>
    <col min="27" max="27" width="14.140625" customWidth="1"/>
    <col min="28" max="28" width="2.7109375" customWidth="1"/>
    <col min="29" max="29" width="15" bestFit="1" customWidth="1"/>
    <col min="30" max="31" width="2.7109375" customWidth="1"/>
    <col min="32" max="36" width="15.140625" customWidth="1"/>
    <col min="37" max="37" width="2.7109375" customWidth="1"/>
    <col min="38" max="41" width="15.140625" customWidth="1"/>
    <col min="42" max="44" width="2.7109375" customWidth="1"/>
    <col min="45" max="56" width="13.5703125" customWidth="1" outlineLevel="1"/>
    <col min="57" max="57" width="15.7109375" customWidth="1"/>
    <col min="58" max="58" width="2.7109375" customWidth="1"/>
    <col min="59" max="62" width="14.140625" customWidth="1" outlineLevel="1"/>
    <col min="63" max="63" width="15" customWidth="1"/>
    <col min="64" max="64" width="2.7109375" customWidth="1"/>
    <col min="65" max="65" width="15" bestFit="1" customWidth="1"/>
    <col min="66" max="67" width="2.7109375" customWidth="1"/>
    <col min="68" max="72" width="15.140625" customWidth="1"/>
    <col min="73" max="73" width="2.7109375" customWidth="1"/>
    <col min="74" max="77" width="15.140625" customWidth="1"/>
  </cols>
  <sheetData>
    <row r="1" spans="2:77" x14ac:dyDescent="0.25">
      <c r="B1" s="25" t="s">
        <v>105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37"/>
    </row>
    <row r="2" spans="2:77" x14ac:dyDescent="0.25">
      <c r="B2" s="25" t="s">
        <v>303</v>
      </c>
    </row>
    <row r="3" spans="2:77" x14ac:dyDescent="0.25">
      <c r="B3" s="73" t="s">
        <v>306</v>
      </c>
      <c r="C3" s="62"/>
      <c r="D3" s="62"/>
      <c r="E3" s="62"/>
      <c r="F3" s="62"/>
      <c r="G3" s="62"/>
      <c r="H3" s="62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</row>
    <row r="4" spans="2:77" ht="15" customHeight="1" x14ac:dyDescent="0.25">
      <c r="I4" s="82" t="s">
        <v>229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80" t="s">
        <v>230</v>
      </c>
      <c r="X4" s="80"/>
      <c r="Y4" s="80"/>
      <c r="Z4" s="80"/>
      <c r="AA4" s="80"/>
      <c r="AC4" s="32" t="s">
        <v>231</v>
      </c>
      <c r="AF4" s="80" t="s">
        <v>233</v>
      </c>
      <c r="AG4" s="80"/>
      <c r="AH4" s="80"/>
      <c r="AI4" s="80"/>
      <c r="AJ4" s="80"/>
      <c r="AL4" s="81" t="s">
        <v>234</v>
      </c>
      <c r="AM4" s="81"/>
      <c r="AN4" s="81"/>
      <c r="AO4" s="81"/>
      <c r="AS4" s="83" t="s">
        <v>229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G4" s="85" t="s">
        <v>230</v>
      </c>
      <c r="BH4" s="85"/>
      <c r="BI4" s="85"/>
      <c r="BJ4" s="85"/>
      <c r="BK4" s="85"/>
      <c r="BM4" s="84" t="s">
        <v>231</v>
      </c>
      <c r="BP4" s="85" t="s">
        <v>233</v>
      </c>
      <c r="BQ4" s="85"/>
      <c r="BR4" s="85"/>
      <c r="BS4" s="85"/>
      <c r="BT4" s="85"/>
      <c r="BV4" s="87" t="s">
        <v>234</v>
      </c>
      <c r="BW4" s="87"/>
      <c r="BX4" s="87"/>
      <c r="BY4" s="87"/>
    </row>
    <row r="5" spans="2:77" x14ac:dyDescent="0.25">
      <c r="B5" s="33" t="s">
        <v>122</v>
      </c>
      <c r="C5" s="33" t="s">
        <v>123</v>
      </c>
      <c r="D5" s="33" t="s">
        <v>124</v>
      </c>
      <c r="E5" s="33" t="s">
        <v>125</v>
      </c>
      <c r="F5" s="32" t="s">
        <v>126</v>
      </c>
      <c r="G5" s="32" t="s">
        <v>127</v>
      </c>
      <c r="I5" s="32">
        <v>44562</v>
      </c>
      <c r="J5" s="32">
        <v>44593</v>
      </c>
      <c r="K5" s="32">
        <v>44621</v>
      </c>
      <c r="L5" s="32">
        <v>44652</v>
      </c>
      <c r="M5" s="32">
        <v>44682</v>
      </c>
      <c r="N5" s="32">
        <v>44713</v>
      </c>
      <c r="O5" s="32">
        <v>44743</v>
      </c>
      <c r="P5" s="32">
        <v>44774</v>
      </c>
      <c r="Q5" s="32">
        <v>44805</v>
      </c>
      <c r="R5" s="32">
        <v>44835</v>
      </c>
      <c r="S5" s="32">
        <v>44866</v>
      </c>
      <c r="T5" s="32">
        <v>44896</v>
      </c>
      <c r="U5" s="32" t="s">
        <v>318</v>
      </c>
      <c r="W5" s="32" t="s">
        <v>317</v>
      </c>
      <c r="X5" s="32" t="s">
        <v>319</v>
      </c>
      <c r="Y5" s="32" t="s">
        <v>320</v>
      </c>
      <c r="Z5" s="32" t="s">
        <v>321</v>
      </c>
      <c r="AA5" s="32" t="s">
        <v>318</v>
      </c>
      <c r="AC5" s="32" t="s">
        <v>232</v>
      </c>
      <c r="AF5" s="32" t="str">
        <f>Control!$C$16</f>
        <v>1Q 2022</v>
      </c>
      <c r="AG5" s="32" t="str">
        <f>Control!$C$17</f>
        <v>2Q 2022</v>
      </c>
      <c r="AH5" s="32" t="str">
        <f>Control!$C$18</f>
        <v>3Q 2022</v>
      </c>
      <c r="AI5" s="32" t="str">
        <f>Control!$C$19</f>
        <v>4Q 2022</v>
      </c>
      <c r="AJ5" s="36" t="str">
        <f>CONCATENATE("Total ",CY)</f>
        <v>Total 2022</v>
      </c>
      <c r="AL5" s="36" t="str">
        <f>Control!$F$16</f>
        <v>3M22</v>
      </c>
      <c r="AM5" s="36" t="str">
        <f>Control!$F$17</f>
        <v>6M22</v>
      </c>
      <c r="AN5" s="36" t="str">
        <f>Control!$F$18</f>
        <v>9M22</v>
      </c>
      <c r="AO5" s="36">
        <f>Control!$F$19</f>
        <v>2022</v>
      </c>
      <c r="AS5" s="84">
        <v>44197</v>
      </c>
      <c r="AT5" s="84">
        <v>44228</v>
      </c>
      <c r="AU5" s="84">
        <v>44256</v>
      </c>
      <c r="AV5" s="84">
        <v>44287</v>
      </c>
      <c r="AW5" s="84">
        <v>44317</v>
      </c>
      <c r="AX5" s="84">
        <v>44348</v>
      </c>
      <c r="AY5" s="84">
        <v>44378</v>
      </c>
      <c r="AZ5" s="84">
        <v>44409</v>
      </c>
      <c r="BA5" s="84">
        <v>44440</v>
      </c>
      <c r="BB5" s="84">
        <v>44470</v>
      </c>
      <c r="BC5" s="84">
        <v>44501</v>
      </c>
      <c r="BD5" s="84">
        <v>44531</v>
      </c>
      <c r="BE5" s="84" t="s">
        <v>297</v>
      </c>
      <c r="BG5" s="84" t="s">
        <v>298</v>
      </c>
      <c r="BH5" s="84" t="s">
        <v>299</v>
      </c>
      <c r="BI5" s="84" t="s">
        <v>300</v>
      </c>
      <c r="BJ5" s="84" t="s">
        <v>301</v>
      </c>
      <c r="BK5" s="84" t="s">
        <v>297</v>
      </c>
      <c r="BM5" s="84" t="s">
        <v>232</v>
      </c>
      <c r="BP5" s="84" t="str">
        <f>Control!$I$16</f>
        <v>1Q 2021</v>
      </c>
      <c r="BQ5" s="84" t="str">
        <f>Control!$I$17</f>
        <v>2Q 2021</v>
      </c>
      <c r="BR5" s="84" t="str">
        <f>Control!$I$18</f>
        <v>3Q 2021</v>
      </c>
      <c r="BS5" s="84" t="str">
        <f>Control!$I$19</f>
        <v>4Q 2021</v>
      </c>
      <c r="BT5" s="86" t="str">
        <f>CONCATENATE("Total ",PY)</f>
        <v>Total 2021</v>
      </c>
      <c r="BV5" s="86" t="str">
        <f>Control!$K$16</f>
        <v>3M21</v>
      </c>
      <c r="BW5" s="86" t="str">
        <f>Control!$K$17</f>
        <v>6M21</v>
      </c>
      <c r="BX5" s="86" t="str">
        <f>Control!$K$18</f>
        <v>9M21</v>
      </c>
      <c r="BY5" s="86">
        <f>Control!$K$19</f>
        <v>2021</v>
      </c>
    </row>
    <row r="6" spans="2:77" x14ac:dyDescent="0.25">
      <c r="B6" s="7" t="s">
        <v>17</v>
      </c>
      <c r="C6" s="28">
        <v>927</v>
      </c>
      <c r="D6" t="s">
        <v>128</v>
      </c>
      <c r="E6" t="s">
        <v>18</v>
      </c>
      <c r="F6" s="28" t="s">
        <v>129</v>
      </c>
      <c r="G6" s="28" t="s">
        <v>130</v>
      </c>
      <c r="H6" s="37"/>
      <c r="I6" s="41">
        <v>6505770.8600000003</v>
      </c>
      <c r="J6" s="41">
        <v>6508535.0499999998</v>
      </c>
      <c r="K6" s="41">
        <v>6716697.79</v>
      </c>
      <c r="L6" s="41"/>
      <c r="M6" s="41"/>
      <c r="N6" s="41"/>
      <c r="O6" s="41"/>
      <c r="P6" s="41"/>
      <c r="Q6" s="41"/>
      <c r="R6" s="41"/>
      <c r="S6" s="41"/>
      <c r="T6" s="41"/>
      <c r="U6" s="42">
        <f>SUM(I6:T6)</f>
        <v>19731003.699999999</v>
      </c>
      <c r="V6" s="37"/>
      <c r="W6" s="41"/>
      <c r="X6" s="41"/>
      <c r="Y6" s="41"/>
      <c r="Z6" s="41"/>
      <c r="AA6" s="42">
        <f>SUM(W6:Z6)</f>
        <v>0</v>
      </c>
      <c r="AB6" s="37"/>
      <c r="AC6" s="42">
        <f>U6-AA6</f>
        <v>19731003.699999999</v>
      </c>
      <c r="AD6" s="37"/>
      <c r="AE6" s="37"/>
      <c r="AF6" s="37">
        <f>AL6</f>
        <v>19731003.699999999</v>
      </c>
      <c r="AG6" s="37">
        <f>AM6-AL6</f>
        <v>0</v>
      </c>
      <c r="AH6" s="37">
        <f>AN6-AM6</f>
        <v>0</v>
      </c>
      <c r="AI6" s="37">
        <f>AO6-AN6</f>
        <v>0</v>
      </c>
      <c r="AJ6" s="42">
        <f>SUM(AF6:AI6)</f>
        <v>19731003.699999999</v>
      </c>
      <c r="AK6" s="37"/>
      <c r="AL6" s="37">
        <f>SUM($I6:K6)-SUM($W6:W6)</f>
        <v>19731003.699999999</v>
      </c>
      <c r="AM6" s="37">
        <f>SUM($I6:N6)-SUM($W6:X6)</f>
        <v>19731003.699999999</v>
      </c>
      <c r="AN6" s="37">
        <f>SUM($I6:Q6)-SUM($W6:Y6)</f>
        <v>19731003.699999999</v>
      </c>
      <c r="AO6" s="37">
        <f>SUM($I6:T6)-SUM($W6:Z6)</f>
        <v>19731003.699999999</v>
      </c>
      <c r="AP6" s="37"/>
      <c r="AQ6" s="37"/>
      <c r="AR6" s="37"/>
      <c r="AS6" s="41">
        <v>5615865.2800000003</v>
      </c>
      <c r="AT6" s="41">
        <v>5412524.75</v>
      </c>
      <c r="AU6" s="41">
        <v>5364570.38</v>
      </c>
      <c r="AV6" s="41">
        <v>5456854.6600000001</v>
      </c>
      <c r="AW6" s="41">
        <v>5891764.4299999997</v>
      </c>
      <c r="AX6" s="41">
        <v>6114458.8200000003</v>
      </c>
      <c r="AY6" s="41">
        <v>5830940.8200000003</v>
      </c>
      <c r="AZ6" s="41">
        <v>6490556.75</v>
      </c>
      <c r="BA6" s="41">
        <v>6507225.6399999997</v>
      </c>
      <c r="BB6" s="41">
        <v>6506190.0700000003</v>
      </c>
      <c r="BC6" s="41">
        <v>6786933.6600000001</v>
      </c>
      <c r="BD6" s="41">
        <v>7607011.4299999997</v>
      </c>
      <c r="BE6" s="42">
        <f>SUM(AS6:BD6)</f>
        <v>73584896.689999998</v>
      </c>
      <c r="BF6" s="37"/>
      <c r="BG6" s="41">
        <v>1530000</v>
      </c>
      <c r="BH6" s="41">
        <v>233183.03999999998</v>
      </c>
      <c r="BI6" s="41">
        <v>456871</v>
      </c>
      <c r="BJ6" s="41">
        <v>673848</v>
      </c>
      <c r="BK6" s="42">
        <f>SUM(BG6:BJ6)</f>
        <v>2893902.04</v>
      </c>
      <c r="BL6" s="37"/>
      <c r="BM6" s="42">
        <f>BE6-BK6</f>
        <v>70690994.649999991</v>
      </c>
      <c r="BN6" s="37"/>
      <c r="BO6" s="37"/>
      <c r="BP6" s="37">
        <f>BV6</f>
        <v>14862960.41</v>
      </c>
      <c r="BQ6" s="37">
        <f>BW6-BV6</f>
        <v>17229894.870000001</v>
      </c>
      <c r="BR6" s="37">
        <f>BX6-BW6</f>
        <v>18371852.210000001</v>
      </c>
      <c r="BS6" s="37">
        <f>BY6-BX6</f>
        <v>20226287.159999989</v>
      </c>
      <c r="BT6" s="42">
        <f>SUM(BP6:BS6)</f>
        <v>70690994.649999991</v>
      </c>
      <c r="BU6" s="37"/>
      <c r="BV6" s="37">
        <f>SUM($AS6:AU6)-SUM($BG6:BG6)</f>
        <v>14862960.41</v>
      </c>
      <c r="BW6" s="37">
        <f>SUM($AS6:AX6)-SUM($BG6:BH6)</f>
        <v>32092855.280000001</v>
      </c>
      <c r="BX6" s="37">
        <f>SUM($AS6:BA6)-SUM($BG6:BI6)</f>
        <v>50464707.490000002</v>
      </c>
      <c r="BY6" s="37">
        <f>SUM($AS6:BD6)-SUM($BG6:BJ6)</f>
        <v>70690994.649999991</v>
      </c>
    </row>
    <row r="7" spans="2:77" x14ac:dyDescent="0.25">
      <c r="B7" s="7" t="s">
        <v>14</v>
      </c>
      <c r="C7" s="28">
        <v>937</v>
      </c>
      <c r="D7" t="s">
        <v>131</v>
      </c>
      <c r="E7" t="s">
        <v>132</v>
      </c>
      <c r="F7" s="28" t="s">
        <v>129</v>
      </c>
      <c r="G7" s="28" t="s">
        <v>130</v>
      </c>
      <c r="H7" s="37"/>
      <c r="I7" s="41">
        <v>10557460.17</v>
      </c>
      <c r="J7" s="41">
        <v>6505620.3399999999</v>
      </c>
      <c r="K7" s="41">
        <v>6333113.5099999998</v>
      </c>
      <c r="L7" s="41"/>
      <c r="M7" s="41"/>
      <c r="N7" s="41"/>
      <c r="O7" s="41"/>
      <c r="P7" s="41"/>
      <c r="Q7" s="41"/>
      <c r="R7" s="41"/>
      <c r="S7" s="41"/>
      <c r="T7" s="41"/>
      <c r="U7" s="42">
        <f t="shared" ref="U7:U41" si="0">SUM(I7:T7)</f>
        <v>23396194.019999996</v>
      </c>
      <c r="V7" s="37"/>
      <c r="W7" s="41"/>
      <c r="X7" s="41"/>
      <c r="Y7" s="41"/>
      <c r="Z7" s="41"/>
      <c r="AA7" s="42">
        <f t="shared" ref="AA7:AA45" si="1">SUM(W7:Z7)</f>
        <v>0</v>
      </c>
      <c r="AB7" s="37"/>
      <c r="AC7" s="42">
        <f t="shared" ref="AC7:AC45" si="2">U7-AA7</f>
        <v>23396194.019999996</v>
      </c>
      <c r="AD7" s="37"/>
      <c r="AE7" s="37"/>
      <c r="AF7" s="37">
        <f t="shared" ref="AF7:AF45" si="3">AL7</f>
        <v>23396194.019999996</v>
      </c>
      <c r="AG7" s="37">
        <f t="shared" ref="AG7:AG45" si="4">AM7-AL7</f>
        <v>0</v>
      </c>
      <c r="AH7" s="37">
        <f t="shared" ref="AH7:AH45" si="5">AN7-AM7</f>
        <v>0</v>
      </c>
      <c r="AI7" s="37">
        <f t="shared" ref="AI7:AI45" si="6">AO7-AN7</f>
        <v>0</v>
      </c>
      <c r="AJ7" s="42">
        <f t="shared" ref="AJ7:AJ45" si="7">SUM(AF7:AI7)</f>
        <v>23396194.019999996</v>
      </c>
      <c r="AK7" s="37"/>
      <c r="AL7" s="37">
        <f>SUM($I7:K7)-SUM($W7:W7)</f>
        <v>23396194.019999996</v>
      </c>
      <c r="AM7" s="37">
        <f>SUM($I7:N7)-SUM($W7:X7)</f>
        <v>23396194.019999996</v>
      </c>
      <c r="AN7" s="37">
        <f>SUM($I7:Q7)-SUM($W7:Y7)</f>
        <v>23396194.019999996</v>
      </c>
      <c r="AO7" s="37">
        <f>SUM($I7:T7)-SUM($W7:Z7)</f>
        <v>23396194.019999996</v>
      </c>
      <c r="AP7" s="37"/>
      <c r="AQ7" s="37"/>
      <c r="AR7" s="37"/>
      <c r="AS7" s="41">
        <v>10031813.710000001</v>
      </c>
      <c r="AT7" s="41">
        <v>5824782.3099999996</v>
      </c>
      <c r="AU7" s="41">
        <v>5641148.5899999999</v>
      </c>
      <c r="AV7" s="41">
        <v>5655101.25</v>
      </c>
      <c r="AW7" s="41">
        <v>5737653.21</v>
      </c>
      <c r="AX7" s="41">
        <v>6072889.3899999997</v>
      </c>
      <c r="AY7" s="41">
        <v>6025612.7599999998</v>
      </c>
      <c r="AZ7" s="41">
        <v>6510156.9699999997</v>
      </c>
      <c r="BA7" s="41">
        <v>6354608.8799999999</v>
      </c>
      <c r="BB7" s="41">
        <v>6387320.7000000002</v>
      </c>
      <c r="BC7" s="41">
        <v>6820777.5700000003</v>
      </c>
      <c r="BD7" s="41">
        <v>7745568.7199999997</v>
      </c>
      <c r="BE7" s="42">
        <f t="shared" ref="BE7:BE41" si="8">SUM(AS7:BD7)</f>
        <v>78807434.060000002</v>
      </c>
      <c r="BF7" s="37"/>
      <c r="BG7" s="41">
        <v>0</v>
      </c>
      <c r="BH7" s="41">
        <v>0</v>
      </c>
      <c r="BI7" s="41">
        <v>0</v>
      </c>
      <c r="BJ7" s="41">
        <v>0</v>
      </c>
      <c r="BK7" s="42">
        <f t="shared" ref="BK7:BK45" si="9">SUM(BG7:BJ7)</f>
        <v>0</v>
      </c>
      <c r="BL7" s="37"/>
      <c r="BM7" s="42">
        <f t="shared" ref="BM7:BM45" si="10">BE7-BK7</f>
        <v>78807434.060000002</v>
      </c>
      <c r="BN7" s="37"/>
      <c r="BO7" s="37"/>
      <c r="BP7" s="37">
        <f t="shared" ref="BP7:BP45" si="11">BV7</f>
        <v>21497744.609999999</v>
      </c>
      <c r="BQ7" s="37">
        <f t="shared" ref="BQ7:BQ45" si="12">BW7-BV7</f>
        <v>17465643.850000001</v>
      </c>
      <c r="BR7" s="37">
        <f t="shared" ref="BR7:BR45" si="13">BX7-BW7</f>
        <v>18890378.609999999</v>
      </c>
      <c r="BS7" s="37">
        <f t="shared" ref="BS7:BS45" si="14">BY7-BX7</f>
        <v>20953666.990000002</v>
      </c>
      <c r="BT7" s="42">
        <f t="shared" ref="BT7:BT45" si="15">SUM(BP7:BS7)</f>
        <v>78807434.060000002</v>
      </c>
      <c r="BU7" s="37"/>
      <c r="BV7" s="37">
        <f>SUM($AS7:AU7)-SUM($BG7:BG7)</f>
        <v>21497744.609999999</v>
      </c>
      <c r="BW7" s="37">
        <f>SUM($AS7:AX7)-SUM($BG7:BH7)</f>
        <v>38963388.460000001</v>
      </c>
      <c r="BX7" s="37">
        <f>SUM($AS7:BA7)-SUM($BG7:BI7)</f>
        <v>57853767.07</v>
      </c>
      <c r="BY7" s="37">
        <f>SUM($AS7:BD7)-SUM($BG7:BJ7)</f>
        <v>78807434.060000002</v>
      </c>
    </row>
    <row r="8" spans="2:77" x14ac:dyDescent="0.25">
      <c r="B8" s="7" t="s">
        <v>29</v>
      </c>
      <c r="C8" s="28">
        <v>972</v>
      </c>
      <c r="D8" t="s">
        <v>133</v>
      </c>
      <c r="E8" t="s">
        <v>134</v>
      </c>
      <c r="F8" s="28" t="s">
        <v>129</v>
      </c>
      <c r="G8" s="28" t="s">
        <v>130</v>
      </c>
      <c r="H8" s="37"/>
      <c r="I8" s="41">
        <v>8745658.5999999996</v>
      </c>
      <c r="J8" s="41">
        <v>5132652.84</v>
      </c>
      <c r="K8" s="41">
        <v>5202863.18</v>
      </c>
      <c r="L8" s="41"/>
      <c r="M8" s="41"/>
      <c r="N8" s="41"/>
      <c r="O8" s="41"/>
      <c r="P8" s="41"/>
      <c r="Q8" s="41"/>
      <c r="R8" s="41"/>
      <c r="S8" s="41"/>
      <c r="T8" s="41"/>
      <c r="U8" s="42">
        <f t="shared" si="0"/>
        <v>19081174.619999997</v>
      </c>
      <c r="V8" s="37"/>
      <c r="W8" s="41"/>
      <c r="X8" s="41"/>
      <c r="Y8" s="41"/>
      <c r="Z8" s="41"/>
      <c r="AA8" s="42">
        <f t="shared" si="1"/>
        <v>0</v>
      </c>
      <c r="AB8" s="37"/>
      <c r="AC8" s="42">
        <f t="shared" si="2"/>
        <v>19081174.619999997</v>
      </c>
      <c r="AD8" s="37"/>
      <c r="AE8" s="37"/>
      <c r="AF8" s="37">
        <f t="shared" si="3"/>
        <v>19081174.619999997</v>
      </c>
      <c r="AG8" s="37">
        <f t="shared" si="4"/>
        <v>0</v>
      </c>
      <c r="AH8" s="37">
        <f t="shared" si="5"/>
        <v>0</v>
      </c>
      <c r="AI8" s="37">
        <f t="shared" si="6"/>
        <v>0</v>
      </c>
      <c r="AJ8" s="42">
        <f t="shared" si="7"/>
        <v>19081174.619999997</v>
      </c>
      <c r="AK8" s="37"/>
      <c r="AL8" s="37">
        <f>SUM($I8:K8)-SUM($W8:W8)</f>
        <v>19081174.619999997</v>
      </c>
      <c r="AM8" s="37">
        <f>SUM($I8:N8)-SUM($W8:X8)</f>
        <v>19081174.619999997</v>
      </c>
      <c r="AN8" s="37">
        <f>SUM($I8:Q8)-SUM($W8:Y8)</f>
        <v>19081174.619999997</v>
      </c>
      <c r="AO8" s="37">
        <f>SUM($I8:T8)-SUM($W8:Z8)</f>
        <v>19081174.619999997</v>
      </c>
      <c r="AP8" s="37"/>
      <c r="AQ8" s="37"/>
      <c r="AR8" s="37"/>
      <c r="AS8" s="41">
        <v>8572740.6300000008</v>
      </c>
      <c r="AT8" s="41">
        <v>4251201.51</v>
      </c>
      <c r="AU8" s="41">
        <v>4539781.22</v>
      </c>
      <c r="AV8" s="41">
        <v>4900567.92</v>
      </c>
      <c r="AW8" s="41">
        <v>4887384.43</v>
      </c>
      <c r="AX8" s="41">
        <v>4978946.49</v>
      </c>
      <c r="AY8" s="41">
        <v>5143998.92</v>
      </c>
      <c r="AZ8" s="41">
        <v>5202986.1900000004</v>
      </c>
      <c r="BA8" s="41">
        <v>5198601.37</v>
      </c>
      <c r="BB8" s="41">
        <v>5214013.26</v>
      </c>
      <c r="BC8" s="41">
        <v>5207299.5</v>
      </c>
      <c r="BD8" s="41">
        <v>5188097.46</v>
      </c>
      <c r="BE8" s="42">
        <f t="shared" si="8"/>
        <v>63285618.899999999</v>
      </c>
      <c r="BF8" s="37"/>
      <c r="BG8" s="41">
        <v>0</v>
      </c>
      <c r="BH8" s="41">
        <v>0</v>
      </c>
      <c r="BI8" s="41">
        <v>0</v>
      </c>
      <c r="BJ8" s="41">
        <v>0</v>
      </c>
      <c r="BK8" s="42">
        <f t="shared" si="9"/>
        <v>0</v>
      </c>
      <c r="BL8" s="37"/>
      <c r="BM8" s="42">
        <f t="shared" si="10"/>
        <v>63285618.899999999</v>
      </c>
      <c r="BN8" s="37"/>
      <c r="BO8" s="37"/>
      <c r="BP8" s="37">
        <f t="shared" si="11"/>
        <v>17363723.359999999</v>
      </c>
      <c r="BQ8" s="37">
        <f t="shared" si="12"/>
        <v>14766898.840000004</v>
      </c>
      <c r="BR8" s="37">
        <f t="shared" si="13"/>
        <v>15545586.479999997</v>
      </c>
      <c r="BS8" s="37">
        <f t="shared" si="14"/>
        <v>15609410.219999999</v>
      </c>
      <c r="BT8" s="42">
        <f t="shared" si="15"/>
        <v>63285618.899999999</v>
      </c>
      <c r="BU8" s="37"/>
      <c r="BV8" s="37">
        <f>SUM($AS8:AU8)-SUM($BG8:BG8)</f>
        <v>17363723.359999999</v>
      </c>
      <c r="BW8" s="37">
        <f>SUM($AS8:AX8)-SUM($BG8:BH8)</f>
        <v>32130622.200000003</v>
      </c>
      <c r="BX8" s="37">
        <f>SUM($AS8:BA8)-SUM($BG8:BI8)</f>
        <v>47676208.68</v>
      </c>
      <c r="BY8" s="37">
        <f>SUM($AS8:BD8)-SUM($BG8:BJ8)</f>
        <v>63285618.899999999</v>
      </c>
    </row>
    <row r="9" spans="2:77" x14ac:dyDescent="0.25">
      <c r="B9" s="7" t="s">
        <v>33</v>
      </c>
      <c r="C9" s="28">
        <v>973</v>
      </c>
      <c r="D9" t="s">
        <v>135</v>
      </c>
      <c r="E9" t="s">
        <v>34</v>
      </c>
      <c r="F9" s="28" t="s">
        <v>129</v>
      </c>
      <c r="G9" s="28" t="s">
        <v>130</v>
      </c>
      <c r="H9" s="37"/>
      <c r="I9" s="41">
        <v>4252727.68</v>
      </c>
      <c r="J9" s="41">
        <v>3971294.34</v>
      </c>
      <c r="K9" s="41">
        <v>4020524.68</v>
      </c>
      <c r="L9" s="41"/>
      <c r="M9" s="41"/>
      <c r="N9" s="41"/>
      <c r="O9" s="41"/>
      <c r="P9" s="41"/>
      <c r="Q9" s="41"/>
      <c r="R9" s="41"/>
      <c r="S9" s="41"/>
      <c r="T9" s="41"/>
      <c r="U9" s="42">
        <f t="shared" si="0"/>
        <v>12244546.699999999</v>
      </c>
      <c r="V9" s="37"/>
      <c r="W9" s="41"/>
      <c r="X9" s="41"/>
      <c r="Y9" s="41"/>
      <c r="Z9" s="41"/>
      <c r="AA9" s="42">
        <f t="shared" si="1"/>
        <v>0</v>
      </c>
      <c r="AB9" s="37"/>
      <c r="AC9" s="42">
        <f t="shared" si="2"/>
        <v>12244546.699999999</v>
      </c>
      <c r="AD9" s="37"/>
      <c r="AE9" s="37"/>
      <c r="AF9" s="37">
        <f t="shared" si="3"/>
        <v>12244546.699999999</v>
      </c>
      <c r="AG9" s="37">
        <f t="shared" si="4"/>
        <v>0</v>
      </c>
      <c r="AH9" s="37">
        <f t="shared" si="5"/>
        <v>0</v>
      </c>
      <c r="AI9" s="37">
        <f t="shared" si="6"/>
        <v>0</v>
      </c>
      <c r="AJ9" s="42">
        <f t="shared" si="7"/>
        <v>12244546.699999999</v>
      </c>
      <c r="AK9" s="37"/>
      <c r="AL9" s="37">
        <f>SUM($I9:K9)-SUM($W9:W9)</f>
        <v>12244546.699999999</v>
      </c>
      <c r="AM9" s="37">
        <f>SUM($I9:N9)-SUM($W9:X9)</f>
        <v>12244546.699999999</v>
      </c>
      <c r="AN9" s="37">
        <f>SUM($I9:Q9)-SUM($W9:Y9)</f>
        <v>12244546.699999999</v>
      </c>
      <c r="AO9" s="37">
        <f>SUM($I9:T9)-SUM($W9:Z9)</f>
        <v>12244546.699999999</v>
      </c>
      <c r="AP9" s="37"/>
      <c r="AQ9" s="37"/>
      <c r="AR9" s="37"/>
      <c r="AS9" s="41">
        <v>4121760.06</v>
      </c>
      <c r="AT9" s="41">
        <v>4030786.51</v>
      </c>
      <c r="AU9" s="41">
        <v>3983737.66</v>
      </c>
      <c r="AV9" s="41">
        <v>3922966.24</v>
      </c>
      <c r="AW9" s="41">
        <v>3801186.52</v>
      </c>
      <c r="AX9" s="41">
        <v>3600357.41</v>
      </c>
      <c r="AY9" s="41">
        <v>3810235.63</v>
      </c>
      <c r="AZ9" s="41">
        <v>4028457.13</v>
      </c>
      <c r="BA9" s="41">
        <v>3845833.66</v>
      </c>
      <c r="BB9" s="41">
        <v>3941120.03</v>
      </c>
      <c r="BC9" s="41">
        <v>4046443.41</v>
      </c>
      <c r="BD9" s="41">
        <v>4073007.72</v>
      </c>
      <c r="BE9" s="42">
        <f t="shared" si="8"/>
        <v>47205891.980000004</v>
      </c>
      <c r="BF9" s="37"/>
      <c r="BG9" s="41">
        <v>0</v>
      </c>
      <c r="BH9" s="41">
        <v>0</v>
      </c>
      <c r="BI9" s="41">
        <v>0</v>
      </c>
      <c r="BJ9" s="41">
        <v>0</v>
      </c>
      <c r="BK9" s="42">
        <f t="shared" si="9"/>
        <v>0</v>
      </c>
      <c r="BL9" s="37"/>
      <c r="BM9" s="42">
        <f t="shared" si="10"/>
        <v>47205891.980000004</v>
      </c>
      <c r="BN9" s="37"/>
      <c r="BO9" s="37"/>
      <c r="BP9" s="37">
        <f t="shared" si="11"/>
        <v>12136284.23</v>
      </c>
      <c r="BQ9" s="37">
        <f t="shared" si="12"/>
        <v>11324510.170000002</v>
      </c>
      <c r="BR9" s="37">
        <f t="shared" si="13"/>
        <v>11684526.419999998</v>
      </c>
      <c r="BS9" s="37">
        <f t="shared" si="14"/>
        <v>12060571.160000004</v>
      </c>
      <c r="BT9" s="42">
        <f t="shared" si="15"/>
        <v>47205891.980000004</v>
      </c>
      <c r="BU9" s="37"/>
      <c r="BV9" s="37">
        <f>SUM($AS9:AU9)-SUM($BG9:BG9)</f>
        <v>12136284.23</v>
      </c>
      <c r="BW9" s="37">
        <f>SUM($AS9:AX9)-SUM($BG9:BH9)</f>
        <v>23460794.400000002</v>
      </c>
      <c r="BX9" s="37">
        <f>SUM($AS9:BA9)-SUM($BG9:BI9)</f>
        <v>35145320.82</v>
      </c>
      <c r="BY9" s="37">
        <f>SUM($AS9:BD9)-SUM($BG9:BJ9)</f>
        <v>47205891.980000004</v>
      </c>
    </row>
    <row r="10" spans="2:77" x14ac:dyDescent="0.25">
      <c r="B10" s="7" t="s">
        <v>20</v>
      </c>
      <c r="C10" s="28">
        <v>974</v>
      </c>
      <c r="D10" t="s">
        <v>136</v>
      </c>
      <c r="E10" t="s">
        <v>21</v>
      </c>
      <c r="F10" s="28" t="s">
        <v>129</v>
      </c>
      <c r="G10" s="28" t="s">
        <v>130</v>
      </c>
      <c r="H10" s="37"/>
      <c r="I10" s="41">
        <v>2631842.65</v>
      </c>
      <c r="J10" s="41">
        <v>2382838.0099999998</v>
      </c>
      <c r="K10" s="41">
        <v>2377534.94</v>
      </c>
      <c r="L10" s="41"/>
      <c r="M10" s="41"/>
      <c r="N10" s="41"/>
      <c r="O10" s="41"/>
      <c r="P10" s="41"/>
      <c r="Q10" s="41"/>
      <c r="R10" s="41"/>
      <c r="S10" s="41"/>
      <c r="T10" s="41"/>
      <c r="U10" s="42">
        <f t="shared" si="0"/>
        <v>7392215.5999999996</v>
      </c>
      <c r="V10" s="37"/>
      <c r="W10" s="41"/>
      <c r="X10" s="41"/>
      <c r="Y10" s="41"/>
      <c r="Z10" s="41"/>
      <c r="AA10" s="42">
        <f t="shared" si="1"/>
        <v>0</v>
      </c>
      <c r="AB10" s="37"/>
      <c r="AC10" s="42">
        <f t="shared" si="2"/>
        <v>7392215.5999999996</v>
      </c>
      <c r="AD10" s="37"/>
      <c r="AE10" s="37"/>
      <c r="AF10" s="37">
        <f t="shared" si="3"/>
        <v>7392215.5999999996</v>
      </c>
      <c r="AG10" s="37">
        <f t="shared" si="4"/>
        <v>0</v>
      </c>
      <c r="AH10" s="37">
        <f t="shared" si="5"/>
        <v>0</v>
      </c>
      <c r="AI10" s="37">
        <f t="shared" si="6"/>
        <v>0</v>
      </c>
      <c r="AJ10" s="42">
        <f t="shared" si="7"/>
        <v>7392215.5999999996</v>
      </c>
      <c r="AK10" s="37"/>
      <c r="AL10" s="37">
        <f>SUM($I10:K10)-SUM($W10:W10)</f>
        <v>7392215.5999999996</v>
      </c>
      <c r="AM10" s="37">
        <f>SUM($I10:N10)-SUM($W10:X10)</f>
        <v>7392215.5999999996</v>
      </c>
      <c r="AN10" s="37">
        <f>SUM($I10:Q10)-SUM($W10:Y10)</f>
        <v>7392215.5999999996</v>
      </c>
      <c r="AO10" s="37">
        <f>SUM($I10:T10)-SUM($W10:Z10)</f>
        <v>7392215.5999999996</v>
      </c>
      <c r="AP10" s="37"/>
      <c r="AQ10" s="37"/>
      <c r="AR10" s="37"/>
      <c r="AS10" s="41">
        <v>2285465.09</v>
      </c>
      <c r="AT10" s="41">
        <v>2128518.06</v>
      </c>
      <c r="AU10" s="41">
        <v>2108048.7599999998</v>
      </c>
      <c r="AV10" s="41">
        <v>2105657.62</v>
      </c>
      <c r="AW10" s="41">
        <v>2144418.5499999998</v>
      </c>
      <c r="AX10" s="41">
        <v>2201040.35</v>
      </c>
      <c r="AY10" s="41">
        <v>2175839.09</v>
      </c>
      <c r="AZ10" s="41">
        <v>2479779.06</v>
      </c>
      <c r="BA10" s="41">
        <v>2378355.2000000002</v>
      </c>
      <c r="BB10" s="41">
        <v>2387219.86</v>
      </c>
      <c r="BC10" s="41">
        <v>2445476.85</v>
      </c>
      <c r="BD10" s="41">
        <v>2293053.0099999998</v>
      </c>
      <c r="BE10" s="42">
        <f t="shared" si="8"/>
        <v>27132871.5</v>
      </c>
      <c r="BF10" s="37"/>
      <c r="BG10" s="41">
        <v>0</v>
      </c>
      <c r="BH10" s="41">
        <v>0</v>
      </c>
      <c r="BI10" s="41">
        <v>0</v>
      </c>
      <c r="BJ10" s="41">
        <v>0</v>
      </c>
      <c r="BK10" s="42">
        <f t="shared" si="9"/>
        <v>0</v>
      </c>
      <c r="BL10" s="37"/>
      <c r="BM10" s="42">
        <f t="shared" si="10"/>
        <v>27132871.5</v>
      </c>
      <c r="BN10" s="37"/>
      <c r="BO10" s="37"/>
      <c r="BP10" s="37">
        <f t="shared" si="11"/>
        <v>6522031.9100000001</v>
      </c>
      <c r="BQ10" s="37">
        <f t="shared" si="12"/>
        <v>6451116.5200000014</v>
      </c>
      <c r="BR10" s="37">
        <f t="shared" si="13"/>
        <v>7033973.3499999996</v>
      </c>
      <c r="BS10" s="37">
        <f t="shared" si="14"/>
        <v>7125749.7199999988</v>
      </c>
      <c r="BT10" s="42">
        <f t="shared" si="15"/>
        <v>27132871.5</v>
      </c>
      <c r="BU10" s="37"/>
      <c r="BV10" s="37">
        <f>SUM($AS10:AU10)-SUM($BG10:BG10)</f>
        <v>6522031.9100000001</v>
      </c>
      <c r="BW10" s="37">
        <f>SUM($AS10:AX10)-SUM($BG10:BH10)</f>
        <v>12973148.430000002</v>
      </c>
      <c r="BX10" s="37">
        <f>SUM($AS10:BA10)-SUM($BG10:BI10)</f>
        <v>20007121.780000001</v>
      </c>
      <c r="BY10" s="37">
        <f>SUM($AS10:BD10)-SUM($BG10:BJ10)</f>
        <v>27132871.5</v>
      </c>
    </row>
    <row r="11" spans="2:77" x14ac:dyDescent="0.25">
      <c r="B11" s="7" t="s">
        <v>35</v>
      </c>
      <c r="C11" s="28">
        <v>975</v>
      </c>
      <c r="D11" t="s">
        <v>137</v>
      </c>
      <c r="E11" t="s">
        <v>138</v>
      </c>
      <c r="F11" s="28" t="s">
        <v>129</v>
      </c>
      <c r="G11" s="28" t="s">
        <v>130</v>
      </c>
      <c r="H11" s="37"/>
      <c r="I11" s="41">
        <v>3640625.17</v>
      </c>
      <c r="J11" s="41">
        <v>3559642.86</v>
      </c>
      <c r="K11" s="41">
        <v>3519380.01</v>
      </c>
      <c r="L11" s="41"/>
      <c r="M11" s="41"/>
      <c r="N11" s="41"/>
      <c r="O11" s="41"/>
      <c r="P11" s="41"/>
      <c r="Q11" s="41"/>
      <c r="R11" s="41"/>
      <c r="S11" s="41"/>
      <c r="T11" s="41"/>
      <c r="U11" s="42">
        <f t="shared" si="0"/>
        <v>10719648.039999999</v>
      </c>
      <c r="V11" s="37"/>
      <c r="W11" s="41"/>
      <c r="X11" s="41"/>
      <c r="Y11" s="41"/>
      <c r="Z11" s="41"/>
      <c r="AA11" s="42">
        <f t="shared" si="1"/>
        <v>0</v>
      </c>
      <c r="AB11" s="37"/>
      <c r="AC11" s="42">
        <f t="shared" si="2"/>
        <v>10719648.039999999</v>
      </c>
      <c r="AD11" s="37"/>
      <c r="AE11" s="37"/>
      <c r="AF11" s="37">
        <f t="shared" si="3"/>
        <v>10719648.039999999</v>
      </c>
      <c r="AG11" s="37">
        <f t="shared" si="4"/>
        <v>0</v>
      </c>
      <c r="AH11" s="37">
        <f t="shared" si="5"/>
        <v>0</v>
      </c>
      <c r="AI11" s="37">
        <f t="shared" si="6"/>
        <v>0</v>
      </c>
      <c r="AJ11" s="42">
        <f t="shared" si="7"/>
        <v>10719648.039999999</v>
      </c>
      <c r="AK11" s="37"/>
      <c r="AL11" s="37">
        <f>SUM($I11:K11)-SUM($W11:W11)</f>
        <v>10719648.039999999</v>
      </c>
      <c r="AM11" s="37">
        <f>SUM($I11:N11)-SUM($W11:X11)</f>
        <v>10719648.039999999</v>
      </c>
      <c r="AN11" s="37">
        <f>SUM($I11:Q11)-SUM($W11:Y11)</f>
        <v>10719648.039999999</v>
      </c>
      <c r="AO11" s="37">
        <f>SUM($I11:T11)-SUM($W11:Z11)</f>
        <v>10719648.039999999</v>
      </c>
      <c r="AP11" s="37"/>
      <c r="AQ11" s="37"/>
      <c r="AR11" s="37"/>
      <c r="AS11" s="41">
        <v>3389590.99</v>
      </c>
      <c r="AT11" s="41">
        <v>3295913.75</v>
      </c>
      <c r="AU11" s="41">
        <v>3251323.55</v>
      </c>
      <c r="AV11" s="41">
        <v>3255238.26</v>
      </c>
      <c r="AW11" s="41">
        <v>3371729.59</v>
      </c>
      <c r="AX11" s="41">
        <v>3230291.9</v>
      </c>
      <c r="AY11" s="41">
        <v>3374085.05</v>
      </c>
      <c r="AZ11" s="41">
        <v>3435119.05</v>
      </c>
      <c r="BA11" s="41">
        <v>3602130.31</v>
      </c>
      <c r="BB11" s="41">
        <v>3508486</v>
      </c>
      <c r="BC11" s="41">
        <v>3569167.44</v>
      </c>
      <c r="BD11" s="41">
        <v>3592511.52</v>
      </c>
      <c r="BE11" s="42">
        <f t="shared" si="8"/>
        <v>40875587.410000004</v>
      </c>
      <c r="BF11" s="37"/>
      <c r="BG11" s="41">
        <v>0</v>
      </c>
      <c r="BH11" s="41">
        <v>0</v>
      </c>
      <c r="BI11" s="41">
        <v>0</v>
      </c>
      <c r="BJ11" s="41">
        <v>0</v>
      </c>
      <c r="BK11" s="42">
        <f t="shared" si="9"/>
        <v>0</v>
      </c>
      <c r="BL11" s="37"/>
      <c r="BM11" s="42">
        <f t="shared" si="10"/>
        <v>40875587.410000004</v>
      </c>
      <c r="BN11" s="37"/>
      <c r="BO11" s="37"/>
      <c r="BP11" s="37">
        <f t="shared" si="11"/>
        <v>9936828.2899999991</v>
      </c>
      <c r="BQ11" s="37">
        <f t="shared" si="12"/>
        <v>9857259.75</v>
      </c>
      <c r="BR11" s="37">
        <f t="shared" si="13"/>
        <v>10411334.41</v>
      </c>
      <c r="BS11" s="37">
        <f t="shared" si="14"/>
        <v>10670164.960000005</v>
      </c>
      <c r="BT11" s="42">
        <f t="shared" si="15"/>
        <v>40875587.410000004</v>
      </c>
      <c r="BU11" s="37"/>
      <c r="BV11" s="37">
        <f>SUM($AS11:AU11)-SUM($BG11:BG11)</f>
        <v>9936828.2899999991</v>
      </c>
      <c r="BW11" s="37">
        <f>SUM($AS11:AX11)-SUM($BG11:BH11)</f>
        <v>19794088.039999999</v>
      </c>
      <c r="BX11" s="37">
        <f>SUM($AS11:BA11)-SUM($BG11:BI11)</f>
        <v>30205422.449999999</v>
      </c>
      <c r="BY11" s="37">
        <f>SUM($AS11:BD11)-SUM($BG11:BJ11)</f>
        <v>40875587.410000004</v>
      </c>
    </row>
    <row r="12" spans="2:77" x14ac:dyDescent="0.25">
      <c r="B12" s="7" t="s">
        <v>40</v>
      </c>
      <c r="C12" s="28">
        <v>976</v>
      </c>
      <c r="D12" t="s">
        <v>139</v>
      </c>
      <c r="E12" t="s">
        <v>140</v>
      </c>
      <c r="F12" s="28" t="s">
        <v>129</v>
      </c>
      <c r="G12" s="28" t="s">
        <v>130</v>
      </c>
      <c r="H12" s="37"/>
      <c r="I12" s="41">
        <v>4259832.42</v>
      </c>
      <c r="J12" s="41">
        <v>3937566.33</v>
      </c>
      <c r="K12" s="41">
        <v>3915552.53</v>
      </c>
      <c r="L12" s="41"/>
      <c r="M12" s="41"/>
      <c r="N12" s="41"/>
      <c r="O12" s="41"/>
      <c r="P12" s="41"/>
      <c r="Q12" s="41"/>
      <c r="R12" s="41"/>
      <c r="S12" s="41"/>
      <c r="T12" s="41"/>
      <c r="U12" s="42">
        <f t="shared" si="0"/>
        <v>12112951.279999999</v>
      </c>
      <c r="V12" s="37"/>
      <c r="W12" s="41"/>
      <c r="X12" s="41"/>
      <c r="Y12" s="41"/>
      <c r="Z12" s="41"/>
      <c r="AA12" s="42">
        <f t="shared" si="1"/>
        <v>0</v>
      </c>
      <c r="AB12" s="37"/>
      <c r="AC12" s="42">
        <f t="shared" si="2"/>
        <v>12112951.279999999</v>
      </c>
      <c r="AD12" s="37"/>
      <c r="AE12" s="37"/>
      <c r="AF12" s="37">
        <f t="shared" si="3"/>
        <v>12112951.279999999</v>
      </c>
      <c r="AG12" s="37">
        <f t="shared" si="4"/>
        <v>0</v>
      </c>
      <c r="AH12" s="37">
        <f t="shared" si="5"/>
        <v>0</v>
      </c>
      <c r="AI12" s="37">
        <f t="shared" si="6"/>
        <v>0</v>
      </c>
      <c r="AJ12" s="42">
        <f t="shared" si="7"/>
        <v>12112951.279999999</v>
      </c>
      <c r="AK12" s="37"/>
      <c r="AL12" s="37">
        <f>SUM($I12:K12)-SUM($W12:W12)</f>
        <v>12112951.279999999</v>
      </c>
      <c r="AM12" s="37">
        <f>SUM($I12:N12)-SUM($W12:X12)</f>
        <v>12112951.279999999</v>
      </c>
      <c r="AN12" s="37">
        <f>SUM($I12:Q12)-SUM($W12:Y12)</f>
        <v>12112951.279999999</v>
      </c>
      <c r="AO12" s="37">
        <f>SUM($I12:T12)-SUM($W12:Z12)</f>
        <v>12112951.279999999</v>
      </c>
      <c r="AP12" s="37"/>
      <c r="AQ12" s="37"/>
      <c r="AR12" s="37"/>
      <c r="AS12" s="41">
        <v>3371338.43</v>
      </c>
      <c r="AT12" s="41">
        <v>3385859.52</v>
      </c>
      <c r="AU12" s="41">
        <v>3408079.78</v>
      </c>
      <c r="AV12" s="41">
        <v>3472633.02</v>
      </c>
      <c r="AW12" s="41">
        <v>3414490.88</v>
      </c>
      <c r="AX12" s="41">
        <v>3455649.71</v>
      </c>
      <c r="AY12" s="41">
        <v>3598073.87</v>
      </c>
      <c r="AZ12" s="41">
        <v>3886138.48</v>
      </c>
      <c r="BA12" s="41">
        <v>4129618.56</v>
      </c>
      <c r="BB12" s="41">
        <v>4233116.57</v>
      </c>
      <c r="BC12" s="41">
        <v>4670773.78</v>
      </c>
      <c r="BD12" s="41">
        <v>4411939.4000000004</v>
      </c>
      <c r="BE12" s="42">
        <f t="shared" si="8"/>
        <v>45437712</v>
      </c>
      <c r="BF12" s="37"/>
      <c r="BG12" s="41">
        <v>0</v>
      </c>
      <c r="BH12" s="41">
        <v>0</v>
      </c>
      <c r="BI12" s="41">
        <v>0</v>
      </c>
      <c r="BJ12" s="41">
        <v>0</v>
      </c>
      <c r="BK12" s="42">
        <f t="shared" si="9"/>
        <v>0</v>
      </c>
      <c r="BL12" s="37"/>
      <c r="BM12" s="42">
        <f t="shared" si="10"/>
        <v>45437712</v>
      </c>
      <c r="BN12" s="37"/>
      <c r="BO12" s="37"/>
      <c r="BP12" s="37">
        <f t="shared" si="11"/>
        <v>10165277.73</v>
      </c>
      <c r="BQ12" s="37">
        <f t="shared" si="12"/>
        <v>10342773.609999999</v>
      </c>
      <c r="BR12" s="37">
        <f t="shared" si="13"/>
        <v>11613830.91</v>
      </c>
      <c r="BS12" s="37">
        <f t="shared" si="14"/>
        <v>13315829.75</v>
      </c>
      <c r="BT12" s="42">
        <f t="shared" si="15"/>
        <v>45437712</v>
      </c>
      <c r="BU12" s="37"/>
      <c r="BV12" s="37">
        <f>SUM($AS12:AU12)-SUM($BG12:BG12)</f>
        <v>10165277.73</v>
      </c>
      <c r="BW12" s="37">
        <f>SUM($AS12:AX12)-SUM($BG12:BH12)</f>
        <v>20508051.34</v>
      </c>
      <c r="BX12" s="37">
        <f>SUM($AS12:BA12)-SUM($BG12:BI12)</f>
        <v>32121882.25</v>
      </c>
      <c r="BY12" s="37">
        <f>SUM($AS12:BD12)-SUM($BG12:BJ12)</f>
        <v>45437712</v>
      </c>
    </row>
    <row r="13" spans="2:77" x14ac:dyDescent="0.25">
      <c r="B13" s="7" t="s">
        <v>48</v>
      </c>
      <c r="C13" s="28">
        <v>977</v>
      </c>
      <c r="D13" t="s">
        <v>141</v>
      </c>
      <c r="E13" t="s">
        <v>142</v>
      </c>
      <c r="F13" s="28" t="s">
        <v>129</v>
      </c>
      <c r="G13" s="28" t="s">
        <v>130</v>
      </c>
      <c r="H13" s="37"/>
      <c r="I13" s="41">
        <v>2474345.92</v>
      </c>
      <c r="J13" s="41">
        <v>2656973.33</v>
      </c>
      <c r="K13" s="41">
        <v>2842435.02</v>
      </c>
      <c r="L13" s="41"/>
      <c r="M13" s="41"/>
      <c r="N13" s="41"/>
      <c r="O13" s="41"/>
      <c r="P13" s="41"/>
      <c r="Q13" s="41"/>
      <c r="R13" s="41"/>
      <c r="S13" s="41"/>
      <c r="T13" s="41"/>
      <c r="U13" s="42">
        <f t="shared" si="0"/>
        <v>7973754.2699999996</v>
      </c>
      <c r="V13" s="37"/>
      <c r="W13" s="41"/>
      <c r="X13" s="41"/>
      <c r="Y13" s="41"/>
      <c r="Z13" s="41"/>
      <c r="AA13" s="42">
        <f t="shared" si="1"/>
        <v>0</v>
      </c>
      <c r="AB13" s="37"/>
      <c r="AC13" s="42">
        <f t="shared" si="2"/>
        <v>7973754.2699999996</v>
      </c>
      <c r="AD13" s="37"/>
      <c r="AE13" s="37"/>
      <c r="AF13" s="37">
        <f t="shared" si="3"/>
        <v>7973754.2699999996</v>
      </c>
      <c r="AG13" s="37">
        <f t="shared" si="4"/>
        <v>0</v>
      </c>
      <c r="AH13" s="37">
        <f t="shared" si="5"/>
        <v>0</v>
      </c>
      <c r="AI13" s="37">
        <f t="shared" si="6"/>
        <v>0</v>
      </c>
      <c r="AJ13" s="42">
        <f t="shared" si="7"/>
        <v>7973754.2699999996</v>
      </c>
      <c r="AK13" s="37"/>
      <c r="AL13" s="37">
        <f>SUM($I13:K13)-SUM($W13:W13)</f>
        <v>7973754.2699999996</v>
      </c>
      <c r="AM13" s="37">
        <f>SUM($I13:N13)-SUM($W13:X13)</f>
        <v>7973754.2699999996</v>
      </c>
      <c r="AN13" s="37">
        <f>SUM($I13:Q13)-SUM($W13:Y13)</f>
        <v>7973754.2699999996</v>
      </c>
      <c r="AO13" s="37">
        <f>SUM($I13:T13)-SUM($W13:Z13)</f>
        <v>7973754.2699999996</v>
      </c>
      <c r="AP13" s="37"/>
      <c r="AQ13" s="37"/>
      <c r="AR13" s="37"/>
      <c r="AS13" s="41">
        <v>2379492.04</v>
      </c>
      <c r="AT13" s="41">
        <v>1948320.41</v>
      </c>
      <c r="AU13" s="41">
        <v>2487777.0699999998</v>
      </c>
      <c r="AV13" s="41">
        <v>2194637.84</v>
      </c>
      <c r="AW13" s="41">
        <v>2636388.2599999998</v>
      </c>
      <c r="AX13" s="41">
        <v>2548822.2599999998</v>
      </c>
      <c r="AY13" s="41">
        <v>2392508.69</v>
      </c>
      <c r="AZ13" s="41">
        <v>2543563.94</v>
      </c>
      <c r="BA13" s="41">
        <v>2548218.0099999998</v>
      </c>
      <c r="BB13" s="41">
        <v>2382956.41</v>
      </c>
      <c r="BC13" s="41">
        <v>2264605.14</v>
      </c>
      <c r="BD13" s="41">
        <v>2487995.96</v>
      </c>
      <c r="BE13" s="42">
        <f t="shared" si="8"/>
        <v>28815286.029999997</v>
      </c>
      <c r="BF13" s="37"/>
      <c r="BG13" s="41">
        <v>705000</v>
      </c>
      <c r="BH13" s="41">
        <v>250344.84</v>
      </c>
      <c r="BI13" s="41">
        <v>488230</v>
      </c>
      <c r="BJ13" s="41">
        <v>500230</v>
      </c>
      <c r="BK13" s="42">
        <f t="shared" si="9"/>
        <v>1943804.8399999999</v>
      </c>
      <c r="BL13" s="37"/>
      <c r="BM13" s="42">
        <f t="shared" si="10"/>
        <v>26871481.189999998</v>
      </c>
      <c r="BN13" s="37"/>
      <c r="BO13" s="37"/>
      <c r="BP13" s="37">
        <f t="shared" si="11"/>
        <v>6110589.5199999996</v>
      </c>
      <c r="BQ13" s="37">
        <f t="shared" si="12"/>
        <v>7129503.5199999996</v>
      </c>
      <c r="BR13" s="37">
        <f t="shared" si="13"/>
        <v>6996060.6399999969</v>
      </c>
      <c r="BS13" s="37">
        <f t="shared" si="14"/>
        <v>6635327.5100000016</v>
      </c>
      <c r="BT13" s="42">
        <f t="shared" si="15"/>
        <v>26871481.189999998</v>
      </c>
      <c r="BU13" s="37"/>
      <c r="BV13" s="37">
        <f>SUM($AS13:AU13)-SUM($BG13:BG13)</f>
        <v>6110589.5199999996</v>
      </c>
      <c r="BW13" s="37">
        <f>SUM($AS13:AX13)-SUM($BG13:BH13)</f>
        <v>13240093.039999999</v>
      </c>
      <c r="BX13" s="37">
        <f>SUM($AS13:BA13)-SUM($BG13:BI13)</f>
        <v>20236153.679999996</v>
      </c>
      <c r="BY13" s="37">
        <f>SUM($AS13:BD13)-SUM($BG13:BJ13)</f>
        <v>26871481.189999998</v>
      </c>
    </row>
    <row r="14" spans="2:77" x14ac:dyDescent="0.25">
      <c r="B14" s="7" t="s">
        <v>51</v>
      </c>
      <c r="C14" s="28">
        <v>978</v>
      </c>
      <c r="D14" t="s">
        <v>143</v>
      </c>
      <c r="E14" t="s">
        <v>52</v>
      </c>
      <c r="F14" s="28" t="s">
        <v>129</v>
      </c>
      <c r="G14" s="28" t="s">
        <v>130</v>
      </c>
      <c r="H14" s="37"/>
      <c r="I14" s="41">
        <v>2411018.2999999998</v>
      </c>
      <c r="J14" s="41">
        <v>2115819.88</v>
      </c>
      <c r="K14" s="41">
        <v>2149519.89</v>
      </c>
      <c r="L14" s="41"/>
      <c r="M14" s="41"/>
      <c r="N14" s="41"/>
      <c r="O14" s="41"/>
      <c r="P14" s="41"/>
      <c r="Q14" s="41"/>
      <c r="R14" s="41"/>
      <c r="S14" s="41"/>
      <c r="T14" s="41"/>
      <c r="U14" s="42">
        <f t="shared" si="0"/>
        <v>6676358.0700000003</v>
      </c>
      <c r="V14" s="37"/>
      <c r="W14" s="41"/>
      <c r="X14" s="41"/>
      <c r="Y14" s="41"/>
      <c r="Z14" s="41"/>
      <c r="AA14" s="42">
        <f t="shared" si="1"/>
        <v>0</v>
      </c>
      <c r="AB14" s="37"/>
      <c r="AC14" s="42">
        <f t="shared" si="2"/>
        <v>6676358.0700000003</v>
      </c>
      <c r="AD14" s="37"/>
      <c r="AE14" s="37"/>
      <c r="AF14" s="37">
        <f t="shared" si="3"/>
        <v>6676358.0700000003</v>
      </c>
      <c r="AG14" s="37">
        <f t="shared" si="4"/>
        <v>0</v>
      </c>
      <c r="AH14" s="37">
        <f t="shared" si="5"/>
        <v>0</v>
      </c>
      <c r="AI14" s="37">
        <f t="shared" si="6"/>
        <v>0</v>
      </c>
      <c r="AJ14" s="42">
        <f t="shared" si="7"/>
        <v>6676358.0700000003</v>
      </c>
      <c r="AK14" s="37"/>
      <c r="AL14" s="37">
        <f>SUM($I14:K14)-SUM($W14:W14)</f>
        <v>6676358.0700000003</v>
      </c>
      <c r="AM14" s="37">
        <f>SUM($I14:N14)-SUM($W14:X14)</f>
        <v>6676358.0700000003</v>
      </c>
      <c r="AN14" s="37">
        <f>SUM($I14:Q14)-SUM($W14:Y14)</f>
        <v>6676358.0700000003</v>
      </c>
      <c r="AO14" s="37">
        <f>SUM($I14:T14)-SUM($W14:Z14)</f>
        <v>6676358.0700000003</v>
      </c>
      <c r="AP14" s="37"/>
      <c r="AQ14" s="37"/>
      <c r="AR14" s="37"/>
      <c r="AS14" s="41">
        <v>1770427.04</v>
      </c>
      <c r="AT14" s="41">
        <v>1762948.39</v>
      </c>
      <c r="AU14" s="41">
        <v>1768557.07</v>
      </c>
      <c r="AV14" s="41">
        <v>1759385.24</v>
      </c>
      <c r="AW14" s="41">
        <v>2053910.74</v>
      </c>
      <c r="AX14" s="41">
        <v>1896717.81</v>
      </c>
      <c r="AY14" s="41">
        <v>2108483.37</v>
      </c>
      <c r="AZ14" s="41">
        <v>2092719.25</v>
      </c>
      <c r="BA14" s="41">
        <v>2118762.75</v>
      </c>
      <c r="BB14" s="41">
        <v>2119648.67</v>
      </c>
      <c r="BC14" s="41">
        <v>2217305.0699999998</v>
      </c>
      <c r="BD14" s="41">
        <v>2155855.46</v>
      </c>
      <c r="BE14" s="42">
        <f t="shared" si="8"/>
        <v>23824720.859999999</v>
      </c>
      <c r="BF14" s="37"/>
      <c r="BG14" s="41">
        <v>0</v>
      </c>
      <c r="BH14" s="41">
        <v>0</v>
      </c>
      <c r="BI14" s="41">
        <v>0</v>
      </c>
      <c r="BJ14" s="41">
        <v>0</v>
      </c>
      <c r="BK14" s="42">
        <f t="shared" si="9"/>
        <v>0</v>
      </c>
      <c r="BL14" s="37"/>
      <c r="BM14" s="42">
        <f t="shared" si="10"/>
        <v>23824720.859999999</v>
      </c>
      <c r="BN14" s="37"/>
      <c r="BO14" s="37"/>
      <c r="BP14" s="37">
        <f t="shared" si="11"/>
        <v>5301932.5</v>
      </c>
      <c r="BQ14" s="37">
        <f t="shared" si="12"/>
        <v>5710013.790000001</v>
      </c>
      <c r="BR14" s="37">
        <f t="shared" si="13"/>
        <v>6319965.3699999992</v>
      </c>
      <c r="BS14" s="37">
        <f t="shared" si="14"/>
        <v>6492809.1999999993</v>
      </c>
      <c r="BT14" s="42">
        <f t="shared" si="15"/>
        <v>23824720.859999999</v>
      </c>
      <c r="BU14" s="37"/>
      <c r="BV14" s="37">
        <f>SUM($AS14:AU14)-SUM($BG14:BG14)</f>
        <v>5301932.5</v>
      </c>
      <c r="BW14" s="37">
        <f>SUM($AS14:AX14)-SUM($BG14:BH14)</f>
        <v>11011946.290000001</v>
      </c>
      <c r="BX14" s="37">
        <f>SUM($AS14:BA14)-SUM($BG14:BI14)</f>
        <v>17331911.66</v>
      </c>
      <c r="BY14" s="37">
        <f>SUM($AS14:BD14)-SUM($BG14:BJ14)</f>
        <v>23824720.859999999</v>
      </c>
    </row>
    <row r="15" spans="2:77" x14ac:dyDescent="0.25">
      <c r="B15" s="7" t="s">
        <v>68</v>
      </c>
      <c r="C15" s="28" t="s">
        <v>144</v>
      </c>
      <c r="D15" t="s">
        <v>145</v>
      </c>
      <c r="E15" t="s">
        <v>146</v>
      </c>
      <c r="F15" s="28" t="s">
        <v>129</v>
      </c>
      <c r="G15" s="28" t="s">
        <v>130</v>
      </c>
      <c r="H15" s="37"/>
      <c r="I15" s="41">
        <v>2137008.71</v>
      </c>
      <c r="J15" s="41">
        <v>2301341.52</v>
      </c>
      <c r="K15" s="41">
        <v>1966813.35</v>
      </c>
      <c r="L15" s="41"/>
      <c r="M15" s="41"/>
      <c r="N15" s="41"/>
      <c r="O15" s="41"/>
      <c r="P15" s="41"/>
      <c r="Q15" s="41"/>
      <c r="R15" s="41"/>
      <c r="S15" s="41"/>
      <c r="T15" s="41"/>
      <c r="U15" s="42">
        <f t="shared" si="0"/>
        <v>6405163.5800000001</v>
      </c>
      <c r="V15" s="37"/>
      <c r="W15" s="41"/>
      <c r="X15" s="41"/>
      <c r="Y15" s="41"/>
      <c r="Z15" s="41"/>
      <c r="AA15" s="42">
        <f t="shared" si="1"/>
        <v>0</v>
      </c>
      <c r="AB15" s="37"/>
      <c r="AC15" s="42">
        <f t="shared" si="2"/>
        <v>6405163.5800000001</v>
      </c>
      <c r="AD15" s="37"/>
      <c r="AE15" s="37"/>
      <c r="AF15" s="37">
        <f t="shared" si="3"/>
        <v>6405163.5800000001</v>
      </c>
      <c r="AG15" s="37">
        <f t="shared" si="4"/>
        <v>0</v>
      </c>
      <c r="AH15" s="37">
        <f t="shared" si="5"/>
        <v>0</v>
      </c>
      <c r="AI15" s="37">
        <f t="shared" si="6"/>
        <v>0</v>
      </c>
      <c r="AJ15" s="42">
        <f t="shared" si="7"/>
        <v>6405163.5800000001</v>
      </c>
      <c r="AK15" s="37"/>
      <c r="AL15" s="37">
        <f>SUM($I15:K15)-SUM($W15:W15)</f>
        <v>6405163.5800000001</v>
      </c>
      <c r="AM15" s="37">
        <f>SUM($I15:N15)-SUM($W15:X15)</f>
        <v>6405163.5800000001</v>
      </c>
      <c r="AN15" s="37">
        <f>SUM($I15:Q15)-SUM($W15:Y15)</f>
        <v>6405163.5800000001</v>
      </c>
      <c r="AO15" s="37">
        <f>SUM($I15:T15)-SUM($W15:Z15)</f>
        <v>6405163.5800000001</v>
      </c>
      <c r="AP15" s="37"/>
      <c r="AQ15" s="37"/>
      <c r="AR15" s="37"/>
      <c r="AS15" s="41">
        <v>1856749.31</v>
      </c>
      <c r="AT15" s="41">
        <v>2082243.24</v>
      </c>
      <c r="AU15" s="41">
        <v>1947297.72</v>
      </c>
      <c r="AV15" s="41">
        <v>1943859.21</v>
      </c>
      <c r="AW15" s="41">
        <v>1942444.7</v>
      </c>
      <c r="AX15" s="41">
        <v>1956917.76</v>
      </c>
      <c r="AY15" s="41">
        <v>1941025.66</v>
      </c>
      <c r="AZ15" s="41">
        <v>1979327.91</v>
      </c>
      <c r="BA15" s="41">
        <v>1956249.66</v>
      </c>
      <c r="BB15" s="41">
        <v>1995775.21</v>
      </c>
      <c r="BC15" s="41">
        <v>2381643.7799999998</v>
      </c>
      <c r="BD15" s="41">
        <v>2068352.75</v>
      </c>
      <c r="BE15" s="42">
        <f t="shared" si="8"/>
        <v>24051886.91</v>
      </c>
      <c r="BF15" s="37"/>
      <c r="BG15" s="41">
        <v>0</v>
      </c>
      <c r="BH15" s="41">
        <v>0</v>
      </c>
      <c r="BI15" s="41">
        <v>0</v>
      </c>
      <c r="BJ15" s="41">
        <v>0</v>
      </c>
      <c r="BK15" s="42">
        <f t="shared" si="9"/>
        <v>0</v>
      </c>
      <c r="BL15" s="37"/>
      <c r="BM15" s="42">
        <f t="shared" si="10"/>
        <v>24051886.91</v>
      </c>
      <c r="BN15" s="37"/>
      <c r="BO15" s="37"/>
      <c r="BP15" s="37">
        <f t="shared" si="11"/>
        <v>5886290.2699999996</v>
      </c>
      <c r="BQ15" s="37">
        <f t="shared" si="12"/>
        <v>5843221.6699999999</v>
      </c>
      <c r="BR15" s="37">
        <f t="shared" si="13"/>
        <v>5876603.2299999986</v>
      </c>
      <c r="BS15" s="37">
        <f t="shared" si="14"/>
        <v>6445771.7400000021</v>
      </c>
      <c r="BT15" s="42">
        <f t="shared" si="15"/>
        <v>24051886.91</v>
      </c>
      <c r="BU15" s="37"/>
      <c r="BV15" s="37">
        <f>SUM($AS15:AU15)-SUM($BG15:BG15)</f>
        <v>5886290.2699999996</v>
      </c>
      <c r="BW15" s="37">
        <f>SUM($AS15:AX15)-SUM($BG15:BH15)</f>
        <v>11729511.939999999</v>
      </c>
      <c r="BX15" s="37">
        <f>SUM($AS15:BA15)-SUM($BG15:BI15)</f>
        <v>17606115.169999998</v>
      </c>
      <c r="BY15" s="37">
        <f>SUM($AS15:BD15)-SUM($BG15:BJ15)</f>
        <v>24051886.91</v>
      </c>
    </row>
    <row r="16" spans="2:77" x14ac:dyDescent="0.25">
      <c r="B16" s="7" t="s">
        <v>66</v>
      </c>
      <c r="C16" s="28">
        <v>1067</v>
      </c>
      <c r="D16" t="s">
        <v>147</v>
      </c>
      <c r="E16" t="s">
        <v>148</v>
      </c>
      <c r="F16" s="28" t="s">
        <v>129</v>
      </c>
      <c r="G16" s="28" t="s">
        <v>130</v>
      </c>
      <c r="H16" s="37"/>
      <c r="I16" s="41">
        <v>984152.16</v>
      </c>
      <c r="J16" s="41">
        <v>984152.16</v>
      </c>
      <c r="K16" s="41">
        <v>1145002.33</v>
      </c>
      <c r="L16" s="41"/>
      <c r="M16" s="41"/>
      <c r="N16" s="41"/>
      <c r="O16" s="41"/>
      <c r="P16" s="41"/>
      <c r="Q16" s="41"/>
      <c r="R16" s="41"/>
      <c r="S16" s="41"/>
      <c r="T16" s="41"/>
      <c r="U16" s="42">
        <f t="shared" si="0"/>
        <v>3113306.6500000004</v>
      </c>
      <c r="V16" s="37"/>
      <c r="W16" s="41"/>
      <c r="X16" s="41"/>
      <c r="Y16" s="41"/>
      <c r="Z16" s="41"/>
      <c r="AA16" s="42">
        <f t="shared" si="1"/>
        <v>0</v>
      </c>
      <c r="AB16" s="37"/>
      <c r="AC16" s="42">
        <f t="shared" si="2"/>
        <v>3113306.6500000004</v>
      </c>
      <c r="AD16" s="37"/>
      <c r="AE16" s="37"/>
      <c r="AF16" s="37">
        <f t="shared" si="3"/>
        <v>3113306.6500000004</v>
      </c>
      <c r="AG16" s="37">
        <f t="shared" si="4"/>
        <v>0</v>
      </c>
      <c r="AH16" s="37">
        <f t="shared" si="5"/>
        <v>0</v>
      </c>
      <c r="AI16" s="37">
        <f t="shared" si="6"/>
        <v>0</v>
      </c>
      <c r="AJ16" s="42">
        <f t="shared" si="7"/>
        <v>3113306.6500000004</v>
      </c>
      <c r="AK16" s="37"/>
      <c r="AL16" s="37">
        <f>SUM($I16:K16)-SUM($W16:W16)</f>
        <v>3113306.6500000004</v>
      </c>
      <c r="AM16" s="37">
        <f>SUM($I16:N16)-SUM($W16:X16)</f>
        <v>3113306.6500000004</v>
      </c>
      <c r="AN16" s="37">
        <f>SUM($I16:Q16)-SUM($W16:Y16)</f>
        <v>3113306.6500000004</v>
      </c>
      <c r="AO16" s="37">
        <f>SUM($I16:T16)-SUM($W16:Z16)</f>
        <v>3113306.6500000004</v>
      </c>
      <c r="AP16" s="37"/>
      <c r="AQ16" s="37"/>
      <c r="AR16" s="37"/>
      <c r="AS16" s="41">
        <v>932032</v>
      </c>
      <c r="AT16" s="41">
        <v>932032</v>
      </c>
      <c r="AU16" s="41">
        <v>1012927.52</v>
      </c>
      <c r="AV16" s="41">
        <v>932032</v>
      </c>
      <c r="AW16" s="41">
        <v>932032</v>
      </c>
      <c r="AX16" s="41">
        <v>932032</v>
      </c>
      <c r="AY16" s="41">
        <v>932032</v>
      </c>
      <c r="AZ16" s="41">
        <v>932032</v>
      </c>
      <c r="BA16" s="41">
        <v>932032</v>
      </c>
      <c r="BB16" s="41">
        <v>984152.16</v>
      </c>
      <c r="BC16" s="41">
        <v>984152.16</v>
      </c>
      <c r="BD16" s="41">
        <v>1609368.13</v>
      </c>
      <c r="BE16" s="42">
        <f t="shared" si="8"/>
        <v>12046855.969999999</v>
      </c>
      <c r="BF16" s="37"/>
      <c r="BG16" s="41">
        <v>0</v>
      </c>
      <c r="BH16" s="41">
        <v>0</v>
      </c>
      <c r="BI16" s="41">
        <v>0</v>
      </c>
      <c r="BJ16" s="41">
        <v>0</v>
      </c>
      <c r="BK16" s="42">
        <f t="shared" si="9"/>
        <v>0</v>
      </c>
      <c r="BL16" s="37"/>
      <c r="BM16" s="42">
        <f t="shared" si="10"/>
        <v>12046855.969999999</v>
      </c>
      <c r="BN16" s="37"/>
      <c r="BO16" s="37"/>
      <c r="BP16" s="37">
        <f t="shared" si="11"/>
        <v>2876991.52</v>
      </c>
      <c r="BQ16" s="37">
        <f t="shared" si="12"/>
        <v>2796095.9999999995</v>
      </c>
      <c r="BR16" s="37">
        <f t="shared" si="13"/>
        <v>2796096</v>
      </c>
      <c r="BS16" s="37">
        <f t="shared" si="14"/>
        <v>3577672.4499999993</v>
      </c>
      <c r="BT16" s="42">
        <f t="shared" si="15"/>
        <v>12046855.969999999</v>
      </c>
      <c r="BU16" s="37"/>
      <c r="BV16" s="37">
        <f>SUM($AS16:AU16)-SUM($BG16:BG16)</f>
        <v>2876991.52</v>
      </c>
      <c r="BW16" s="37">
        <f>SUM($AS16:AX16)-SUM($BG16:BH16)</f>
        <v>5673087.5199999996</v>
      </c>
      <c r="BX16" s="37">
        <f>SUM($AS16:BA16)-SUM($BG16:BI16)</f>
        <v>8469183.5199999996</v>
      </c>
      <c r="BY16" s="37">
        <f>SUM($AS16:BD16)-SUM($BG16:BJ16)</f>
        <v>12046855.969999999</v>
      </c>
    </row>
    <row r="17" spans="2:77" x14ac:dyDescent="0.25">
      <c r="B17" s="7" t="s">
        <v>63</v>
      </c>
      <c r="C17" s="28">
        <v>1068</v>
      </c>
      <c r="D17" t="s">
        <v>149</v>
      </c>
      <c r="E17" t="s">
        <v>150</v>
      </c>
      <c r="F17" s="28" t="s">
        <v>151</v>
      </c>
      <c r="G17" s="28" t="s">
        <v>130</v>
      </c>
      <c r="H17" s="37"/>
      <c r="I17" s="41">
        <v>1841334.64</v>
      </c>
      <c r="J17" s="41">
        <v>1841334.64</v>
      </c>
      <c r="K17" s="41">
        <v>1841334.64</v>
      </c>
      <c r="L17" s="41"/>
      <c r="M17" s="41"/>
      <c r="N17" s="41"/>
      <c r="O17" s="41"/>
      <c r="P17" s="41"/>
      <c r="Q17" s="41"/>
      <c r="R17" s="41"/>
      <c r="S17" s="41"/>
      <c r="T17" s="41"/>
      <c r="U17" s="42">
        <f t="shared" si="0"/>
        <v>5524003.9199999999</v>
      </c>
      <c r="V17" s="37"/>
      <c r="W17" s="41"/>
      <c r="X17" s="41"/>
      <c r="Y17" s="41"/>
      <c r="Z17" s="41"/>
      <c r="AA17" s="42">
        <f t="shared" si="1"/>
        <v>0</v>
      </c>
      <c r="AB17" s="37"/>
      <c r="AC17" s="42">
        <f t="shared" si="2"/>
        <v>5524003.9199999999</v>
      </c>
      <c r="AD17" s="37"/>
      <c r="AE17" s="37"/>
      <c r="AF17" s="37">
        <f t="shared" si="3"/>
        <v>5524003.9199999999</v>
      </c>
      <c r="AG17" s="37">
        <f t="shared" si="4"/>
        <v>0</v>
      </c>
      <c r="AH17" s="37">
        <f t="shared" si="5"/>
        <v>0</v>
      </c>
      <c r="AI17" s="37">
        <f t="shared" si="6"/>
        <v>0</v>
      </c>
      <c r="AJ17" s="42">
        <f t="shared" si="7"/>
        <v>5524003.9199999999</v>
      </c>
      <c r="AK17" s="37"/>
      <c r="AL17" s="37">
        <f>SUM($I17:K17)-SUM($W17:W17)</f>
        <v>5524003.9199999999</v>
      </c>
      <c r="AM17" s="37">
        <f>SUM($I17:N17)-SUM($W17:X17)</f>
        <v>5524003.9199999999</v>
      </c>
      <c r="AN17" s="37">
        <f>SUM($I17:Q17)-SUM($W17:Y17)</f>
        <v>5524003.9199999999</v>
      </c>
      <c r="AO17" s="37">
        <f>SUM($I17:T17)-SUM($W17:Z17)</f>
        <v>5524003.9199999999</v>
      </c>
      <c r="AP17" s="37"/>
      <c r="AQ17" s="37"/>
      <c r="AR17" s="37"/>
      <c r="AS17" s="41">
        <v>1759233</v>
      </c>
      <c r="AT17" s="41">
        <v>1759233</v>
      </c>
      <c r="AU17" s="41">
        <v>1759233</v>
      </c>
      <c r="AV17" s="41">
        <v>1759233</v>
      </c>
      <c r="AW17" s="41">
        <v>1841334.64</v>
      </c>
      <c r="AX17" s="41">
        <v>1841334.64</v>
      </c>
      <c r="AY17" s="41">
        <v>1841334.64</v>
      </c>
      <c r="AZ17" s="41">
        <v>1841334.64</v>
      </c>
      <c r="BA17" s="41">
        <v>1841334.64</v>
      </c>
      <c r="BB17" s="41">
        <v>1841334.64</v>
      </c>
      <c r="BC17" s="41">
        <v>1841334.64</v>
      </c>
      <c r="BD17" s="41">
        <v>1841334.64</v>
      </c>
      <c r="BE17" s="42">
        <f t="shared" si="8"/>
        <v>21767609.120000005</v>
      </c>
      <c r="BF17" s="37"/>
      <c r="BG17" s="41">
        <v>0</v>
      </c>
      <c r="BH17" s="41">
        <v>0</v>
      </c>
      <c r="BI17" s="41">
        <v>0</v>
      </c>
      <c r="BJ17" s="41">
        <v>0</v>
      </c>
      <c r="BK17" s="42">
        <f t="shared" si="9"/>
        <v>0</v>
      </c>
      <c r="BL17" s="37"/>
      <c r="BM17" s="42">
        <f t="shared" si="10"/>
        <v>21767609.120000005</v>
      </c>
      <c r="BN17" s="37"/>
      <c r="BO17" s="37"/>
      <c r="BP17" s="37">
        <f t="shared" si="11"/>
        <v>5277699</v>
      </c>
      <c r="BQ17" s="37">
        <f t="shared" si="12"/>
        <v>5441902.2800000012</v>
      </c>
      <c r="BR17" s="37">
        <f t="shared" si="13"/>
        <v>5524003.9200000018</v>
      </c>
      <c r="BS17" s="37">
        <f t="shared" si="14"/>
        <v>5524003.9200000018</v>
      </c>
      <c r="BT17" s="42">
        <f t="shared" si="15"/>
        <v>21767609.120000005</v>
      </c>
      <c r="BU17" s="37"/>
      <c r="BV17" s="37">
        <f>SUM($AS17:AU17)-SUM($BG17:BG17)</f>
        <v>5277699</v>
      </c>
      <c r="BW17" s="37">
        <f>SUM($AS17:AX17)-SUM($BG17:BH17)</f>
        <v>10719601.280000001</v>
      </c>
      <c r="BX17" s="37">
        <f>SUM($AS17:BA17)-SUM($BG17:BI17)</f>
        <v>16243605.200000003</v>
      </c>
      <c r="BY17" s="37">
        <f>SUM($AS17:BD17)-SUM($BG17:BJ17)</f>
        <v>21767609.120000005</v>
      </c>
    </row>
    <row r="18" spans="2:77" x14ac:dyDescent="0.25">
      <c r="B18" s="7" t="s">
        <v>53</v>
      </c>
      <c r="C18" s="28">
        <v>929</v>
      </c>
      <c r="D18" t="s">
        <v>152</v>
      </c>
      <c r="E18" t="s">
        <v>54</v>
      </c>
      <c r="F18" s="28" t="s">
        <v>151</v>
      </c>
      <c r="G18" s="28" t="s">
        <v>130</v>
      </c>
      <c r="H18" s="37"/>
      <c r="I18" s="41">
        <v>6852424.2699999996</v>
      </c>
      <c r="J18" s="41">
        <v>5833417.8099999996</v>
      </c>
      <c r="K18" s="41">
        <v>5807477.6399999997</v>
      </c>
      <c r="L18" s="41"/>
      <c r="M18" s="41"/>
      <c r="N18" s="41"/>
      <c r="O18" s="41"/>
      <c r="P18" s="41"/>
      <c r="Q18" s="41"/>
      <c r="R18" s="41"/>
      <c r="S18" s="41"/>
      <c r="T18" s="41"/>
      <c r="U18" s="42">
        <f t="shared" si="0"/>
        <v>18493319.719999999</v>
      </c>
      <c r="V18" s="37"/>
      <c r="W18" s="41"/>
      <c r="X18" s="41"/>
      <c r="Y18" s="41"/>
      <c r="Z18" s="41"/>
      <c r="AA18" s="42">
        <f t="shared" si="1"/>
        <v>0</v>
      </c>
      <c r="AB18" s="37"/>
      <c r="AC18" s="42">
        <f t="shared" si="2"/>
        <v>18493319.719999999</v>
      </c>
      <c r="AD18" s="37"/>
      <c r="AE18" s="37"/>
      <c r="AF18" s="37">
        <f t="shared" si="3"/>
        <v>18493319.719999999</v>
      </c>
      <c r="AG18" s="37">
        <f t="shared" si="4"/>
        <v>0</v>
      </c>
      <c r="AH18" s="37">
        <f t="shared" si="5"/>
        <v>0</v>
      </c>
      <c r="AI18" s="37">
        <f t="shared" si="6"/>
        <v>0</v>
      </c>
      <c r="AJ18" s="42">
        <f t="shared" si="7"/>
        <v>18493319.719999999</v>
      </c>
      <c r="AK18" s="37"/>
      <c r="AL18" s="37">
        <f>SUM($I18:K18)-SUM($W18:W18)</f>
        <v>18493319.719999999</v>
      </c>
      <c r="AM18" s="37">
        <f>SUM($I18:N18)-SUM($W18:X18)</f>
        <v>18493319.719999999</v>
      </c>
      <c r="AN18" s="37">
        <f>SUM($I18:Q18)-SUM($W18:Y18)</f>
        <v>18493319.719999999</v>
      </c>
      <c r="AO18" s="37">
        <f>SUM($I18:T18)-SUM($W18:Z18)</f>
        <v>18493319.719999999</v>
      </c>
      <c r="AP18" s="37"/>
      <c r="AQ18" s="37"/>
      <c r="AR18" s="37"/>
      <c r="AS18" s="41">
        <v>5802030.4299999997</v>
      </c>
      <c r="AT18" s="41">
        <v>5579115.9699999997</v>
      </c>
      <c r="AU18" s="41">
        <v>5376494.7199999997</v>
      </c>
      <c r="AV18" s="41">
        <v>5426428.3799999999</v>
      </c>
      <c r="AW18" s="41">
        <v>5288576.1100000003</v>
      </c>
      <c r="AX18" s="41">
        <v>5649230.2999999998</v>
      </c>
      <c r="AY18" s="41">
        <v>5592880.6100000003</v>
      </c>
      <c r="AZ18" s="41">
        <v>6028851.4000000004</v>
      </c>
      <c r="BA18" s="41">
        <v>5817915.5099999998</v>
      </c>
      <c r="BB18" s="41">
        <v>5931821.71</v>
      </c>
      <c r="BC18" s="41">
        <v>6299994.1200000001</v>
      </c>
      <c r="BD18" s="41">
        <v>6548254.2699999996</v>
      </c>
      <c r="BE18" s="42">
        <f t="shared" si="8"/>
        <v>69341593.529999986</v>
      </c>
      <c r="BF18" s="37"/>
      <c r="BG18" s="41">
        <v>0</v>
      </c>
      <c r="BH18" s="41">
        <v>0</v>
      </c>
      <c r="BI18" s="41">
        <v>0</v>
      </c>
      <c r="BJ18" s="41">
        <v>0</v>
      </c>
      <c r="BK18" s="42">
        <f t="shared" si="9"/>
        <v>0</v>
      </c>
      <c r="BL18" s="37"/>
      <c r="BM18" s="42">
        <f t="shared" si="10"/>
        <v>69341593.529999986</v>
      </c>
      <c r="BN18" s="37"/>
      <c r="BO18" s="37"/>
      <c r="BP18" s="37">
        <f t="shared" si="11"/>
        <v>16757641.119999997</v>
      </c>
      <c r="BQ18" s="37">
        <f t="shared" si="12"/>
        <v>16364234.789999999</v>
      </c>
      <c r="BR18" s="37">
        <f t="shared" si="13"/>
        <v>17439647.519999996</v>
      </c>
      <c r="BS18" s="37">
        <f t="shared" si="14"/>
        <v>18780070.099999994</v>
      </c>
      <c r="BT18" s="42">
        <f t="shared" si="15"/>
        <v>69341593.529999986</v>
      </c>
      <c r="BU18" s="37"/>
      <c r="BV18" s="37">
        <f>SUM($AS18:AU18)-SUM($BG18:BG18)</f>
        <v>16757641.119999997</v>
      </c>
      <c r="BW18" s="37">
        <f>SUM($AS18:AX18)-SUM($BG18:BH18)</f>
        <v>33121875.909999996</v>
      </c>
      <c r="BX18" s="37">
        <f>SUM($AS18:BA18)-SUM($BG18:BI18)</f>
        <v>50561523.429999992</v>
      </c>
      <c r="BY18" s="37">
        <f>SUM($AS18:BD18)-SUM($BG18:BJ18)</f>
        <v>69341593.529999986</v>
      </c>
    </row>
    <row r="19" spans="2:77" x14ac:dyDescent="0.25">
      <c r="B19" s="7" t="s">
        <v>73</v>
      </c>
      <c r="C19" s="28">
        <v>2100</v>
      </c>
      <c r="D19" t="s">
        <v>153</v>
      </c>
      <c r="E19" t="s">
        <v>154</v>
      </c>
      <c r="F19" s="28" t="s">
        <v>129</v>
      </c>
      <c r="G19" s="28" t="s">
        <v>130</v>
      </c>
      <c r="H19" s="37"/>
      <c r="I19" s="41">
        <v>1565741.58</v>
      </c>
      <c r="J19" s="41">
        <v>1592889.51</v>
      </c>
      <c r="K19" s="41">
        <v>1663902.36</v>
      </c>
      <c r="L19" s="41"/>
      <c r="M19" s="41"/>
      <c r="N19" s="41"/>
      <c r="O19" s="41"/>
      <c r="P19" s="41"/>
      <c r="Q19" s="41"/>
      <c r="R19" s="41"/>
      <c r="S19" s="41"/>
      <c r="T19" s="41"/>
      <c r="U19" s="42">
        <f t="shared" si="0"/>
        <v>4822533.45</v>
      </c>
      <c r="V19" s="37"/>
      <c r="W19" s="41"/>
      <c r="X19" s="41"/>
      <c r="Y19" s="41"/>
      <c r="Z19" s="41"/>
      <c r="AA19" s="42">
        <f t="shared" si="1"/>
        <v>0</v>
      </c>
      <c r="AB19" s="37"/>
      <c r="AC19" s="42">
        <f t="shared" si="2"/>
        <v>4822533.45</v>
      </c>
      <c r="AD19" s="37"/>
      <c r="AE19" s="37"/>
      <c r="AF19" s="37">
        <f t="shared" si="3"/>
        <v>4822533.45</v>
      </c>
      <c r="AG19" s="37">
        <f t="shared" si="4"/>
        <v>0</v>
      </c>
      <c r="AH19" s="37">
        <f t="shared" si="5"/>
        <v>0</v>
      </c>
      <c r="AI19" s="37">
        <f t="shared" si="6"/>
        <v>0</v>
      </c>
      <c r="AJ19" s="42">
        <f t="shared" si="7"/>
        <v>4822533.45</v>
      </c>
      <c r="AK19" s="37"/>
      <c r="AL19" s="37">
        <f>SUM($I19:K19)-SUM($W19:W19)</f>
        <v>4822533.45</v>
      </c>
      <c r="AM19" s="37">
        <f>SUM($I19:N19)-SUM($W19:X19)</f>
        <v>4822533.45</v>
      </c>
      <c r="AN19" s="37">
        <f>SUM($I19:Q19)-SUM($W19:Y19)</f>
        <v>4822533.45</v>
      </c>
      <c r="AO19" s="37">
        <f>SUM($I19:T19)-SUM($W19:Z19)</f>
        <v>4822533.45</v>
      </c>
      <c r="AP19" s="37"/>
      <c r="AQ19" s="37"/>
      <c r="AR19" s="37"/>
      <c r="AS19" s="41">
        <v>1413475.6</v>
      </c>
      <c r="AT19" s="41">
        <v>1192650.72</v>
      </c>
      <c r="AU19" s="41">
        <v>1387160.49</v>
      </c>
      <c r="AV19" s="41">
        <v>1392120.74</v>
      </c>
      <c r="AW19" s="41">
        <v>1393938.9</v>
      </c>
      <c r="AX19" s="41">
        <v>1348437.2</v>
      </c>
      <c r="AY19" s="41">
        <v>1423733.61</v>
      </c>
      <c r="AZ19" s="41">
        <v>1770962.34</v>
      </c>
      <c r="BA19" s="41">
        <v>1615554.64</v>
      </c>
      <c r="BB19" s="41">
        <v>1594264.31</v>
      </c>
      <c r="BC19" s="41">
        <v>1718610.22</v>
      </c>
      <c r="BD19" s="41">
        <v>1667586.96</v>
      </c>
      <c r="BE19" s="42">
        <f t="shared" si="8"/>
        <v>17918495.730000004</v>
      </c>
      <c r="BF19" s="37"/>
      <c r="BG19" s="41">
        <v>0</v>
      </c>
      <c r="BH19" s="41">
        <v>0</v>
      </c>
      <c r="BI19" s="41">
        <v>0</v>
      </c>
      <c r="BJ19" s="41">
        <v>0</v>
      </c>
      <c r="BK19" s="42">
        <f t="shared" si="9"/>
        <v>0</v>
      </c>
      <c r="BL19" s="37"/>
      <c r="BM19" s="42">
        <f t="shared" si="10"/>
        <v>17918495.730000004</v>
      </c>
      <c r="BN19" s="37"/>
      <c r="BO19" s="37"/>
      <c r="BP19" s="37">
        <f t="shared" si="11"/>
        <v>3993286.8100000005</v>
      </c>
      <c r="BQ19" s="37">
        <f t="shared" si="12"/>
        <v>4134496.8400000008</v>
      </c>
      <c r="BR19" s="37">
        <f t="shared" si="13"/>
        <v>4810250.5900000008</v>
      </c>
      <c r="BS19" s="37">
        <f t="shared" si="14"/>
        <v>4980461.4900000021</v>
      </c>
      <c r="BT19" s="42">
        <f t="shared" si="15"/>
        <v>17918495.730000004</v>
      </c>
      <c r="BU19" s="37"/>
      <c r="BV19" s="37">
        <f>SUM($AS19:AU19)-SUM($BG19:BG19)</f>
        <v>3993286.8100000005</v>
      </c>
      <c r="BW19" s="37">
        <f>SUM($AS19:AX19)-SUM($BG19:BH19)</f>
        <v>8127783.6500000013</v>
      </c>
      <c r="BX19" s="37">
        <f>SUM($AS19:BA19)-SUM($BG19:BI19)</f>
        <v>12938034.240000002</v>
      </c>
      <c r="BY19" s="37">
        <f>SUM($AS19:BD19)-SUM($BG19:BJ19)</f>
        <v>17918495.730000004</v>
      </c>
    </row>
    <row r="20" spans="2:77" x14ac:dyDescent="0.25">
      <c r="B20" s="7" t="s">
        <v>155</v>
      </c>
      <c r="C20" s="28">
        <v>979</v>
      </c>
      <c r="D20" t="s">
        <v>156</v>
      </c>
      <c r="E20" t="s">
        <v>157</v>
      </c>
      <c r="F20" s="28" t="s">
        <v>129</v>
      </c>
      <c r="G20" s="28" t="s">
        <v>158</v>
      </c>
      <c r="H20" s="37"/>
      <c r="I20" s="41">
        <v>0</v>
      </c>
      <c r="J20" s="41">
        <v>0</v>
      </c>
      <c r="K20" s="41">
        <v>0</v>
      </c>
      <c r="L20" s="41"/>
      <c r="M20" s="41"/>
      <c r="N20" s="41"/>
      <c r="O20" s="41"/>
      <c r="P20" s="41"/>
      <c r="Q20" s="41"/>
      <c r="R20" s="41"/>
      <c r="S20" s="41"/>
      <c r="T20" s="41"/>
      <c r="U20" s="42">
        <f t="shared" si="0"/>
        <v>0</v>
      </c>
      <c r="V20" s="37"/>
      <c r="W20" s="41"/>
      <c r="X20" s="41"/>
      <c r="Y20" s="41"/>
      <c r="Z20" s="41"/>
      <c r="AA20" s="42">
        <f t="shared" si="1"/>
        <v>0</v>
      </c>
      <c r="AB20" s="37"/>
      <c r="AC20" s="42">
        <f t="shared" si="2"/>
        <v>0</v>
      </c>
      <c r="AD20" s="37"/>
      <c r="AE20" s="37"/>
      <c r="AF20" s="37">
        <f t="shared" si="3"/>
        <v>0</v>
      </c>
      <c r="AG20" s="37">
        <f t="shared" si="4"/>
        <v>0</v>
      </c>
      <c r="AH20" s="37">
        <f t="shared" si="5"/>
        <v>0</v>
      </c>
      <c r="AI20" s="37">
        <f t="shared" si="6"/>
        <v>0</v>
      </c>
      <c r="AJ20" s="42">
        <f t="shared" si="7"/>
        <v>0</v>
      </c>
      <c r="AK20" s="37"/>
      <c r="AL20" s="37">
        <f>SUM($I20:K20)-SUM($W20:W20)</f>
        <v>0</v>
      </c>
      <c r="AM20" s="37">
        <f>SUM($I20:N20)-SUM($W20:X20)</f>
        <v>0</v>
      </c>
      <c r="AN20" s="37">
        <f>SUM($I20:Q20)-SUM($W20:Y20)</f>
        <v>0</v>
      </c>
      <c r="AO20" s="37">
        <f>SUM($I20:T20)-SUM($W20:Z20)</f>
        <v>0</v>
      </c>
      <c r="AP20" s="37"/>
      <c r="AQ20" s="37"/>
      <c r="AR20" s="37"/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2">
        <f t="shared" si="8"/>
        <v>0</v>
      </c>
      <c r="BF20" s="37"/>
      <c r="BG20" s="41">
        <v>0</v>
      </c>
      <c r="BH20" s="41">
        <v>0</v>
      </c>
      <c r="BI20" s="41">
        <v>0</v>
      </c>
      <c r="BJ20" s="41">
        <v>0</v>
      </c>
      <c r="BK20" s="42">
        <f t="shared" si="9"/>
        <v>0</v>
      </c>
      <c r="BL20" s="37"/>
      <c r="BM20" s="42">
        <f t="shared" si="10"/>
        <v>0</v>
      </c>
      <c r="BN20" s="37"/>
      <c r="BO20" s="37"/>
      <c r="BP20" s="37">
        <f t="shared" si="11"/>
        <v>0</v>
      </c>
      <c r="BQ20" s="37">
        <f t="shared" si="12"/>
        <v>0</v>
      </c>
      <c r="BR20" s="37">
        <f t="shared" si="13"/>
        <v>0</v>
      </c>
      <c r="BS20" s="37">
        <f t="shared" si="14"/>
        <v>0</v>
      </c>
      <c r="BT20" s="42">
        <f t="shared" si="15"/>
        <v>0</v>
      </c>
      <c r="BU20" s="37"/>
      <c r="BV20" s="37">
        <f>SUM($AS20:AU20)-SUM($BG20:BG20)</f>
        <v>0</v>
      </c>
      <c r="BW20" s="37">
        <f>SUM($AS20:AX20)-SUM($BG20:BH20)</f>
        <v>0</v>
      </c>
      <c r="BX20" s="37">
        <f>SUM($AS20:BA20)-SUM($BG20:BI20)</f>
        <v>0</v>
      </c>
      <c r="BY20" s="37">
        <f>SUM($AS20:BD20)-SUM($BG20:BJ20)</f>
        <v>0</v>
      </c>
    </row>
    <row r="21" spans="2:77" x14ac:dyDescent="0.25">
      <c r="B21" s="7" t="s">
        <v>78</v>
      </c>
      <c r="C21" s="28">
        <v>1069</v>
      </c>
      <c r="D21" t="s">
        <v>159</v>
      </c>
      <c r="E21" t="s">
        <v>160</v>
      </c>
      <c r="F21" s="28" t="s">
        <v>129</v>
      </c>
      <c r="G21" s="28" t="s">
        <v>161</v>
      </c>
      <c r="H21" s="37"/>
      <c r="I21" s="41">
        <v>3425612.83</v>
      </c>
      <c r="J21" s="41">
        <v>3461519.34</v>
      </c>
      <c r="K21" s="41">
        <v>3291703.21</v>
      </c>
      <c r="L21" s="41"/>
      <c r="M21" s="41"/>
      <c r="N21" s="41"/>
      <c r="O21" s="41"/>
      <c r="P21" s="41"/>
      <c r="Q21" s="41"/>
      <c r="R21" s="41"/>
      <c r="S21" s="41"/>
      <c r="T21" s="41"/>
      <c r="U21" s="42">
        <f t="shared" si="0"/>
        <v>10178835.379999999</v>
      </c>
      <c r="V21" s="37"/>
      <c r="W21" s="41"/>
      <c r="X21" s="41"/>
      <c r="Y21" s="41"/>
      <c r="Z21" s="41"/>
      <c r="AA21" s="42">
        <f t="shared" si="1"/>
        <v>0</v>
      </c>
      <c r="AB21" s="37"/>
      <c r="AC21" s="42">
        <f t="shared" si="2"/>
        <v>10178835.379999999</v>
      </c>
      <c r="AD21" s="37"/>
      <c r="AE21" s="37"/>
      <c r="AF21" s="37">
        <f t="shared" si="3"/>
        <v>10178835.379999999</v>
      </c>
      <c r="AG21" s="37">
        <f t="shared" si="4"/>
        <v>0</v>
      </c>
      <c r="AH21" s="37">
        <f t="shared" si="5"/>
        <v>0</v>
      </c>
      <c r="AI21" s="37">
        <f t="shared" si="6"/>
        <v>0</v>
      </c>
      <c r="AJ21" s="42">
        <f t="shared" si="7"/>
        <v>10178835.379999999</v>
      </c>
      <c r="AK21" s="37"/>
      <c r="AL21" s="37">
        <f>SUM($I21:K21)-SUM($W21:W21)</f>
        <v>10178835.379999999</v>
      </c>
      <c r="AM21" s="37">
        <f>SUM($I21:N21)-SUM($W21:X21)</f>
        <v>10178835.379999999</v>
      </c>
      <c r="AN21" s="37">
        <f>SUM($I21:Q21)-SUM($W21:Y21)</f>
        <v>10178835.379999999</v>
      </c>
      <c r="AO21" s="37">
        <f>SUM($I21:T21)-SUM($W21:Z21)</f>
        <v>10178835.379999999</v>
      </c>
      <c r="AP21" s="37"/>
      <c r="AQ21" s="37"/>
      <c r="AR21" s="37"/>
      <c r="AS21" s="41">
        <v>2785815.64</v>
      </c>
      <c r="AT21" s="41">
        <v>2706708.52</v>
      </c>
      <c r="AU21" s="41">
        <v>2752137.54</v>
      </c>
      <c r="AV21" s="41">
        <v>2728667.43</v>
      </c>
      <c r="AW21" s="41">
        <v>2772864.54</v>
      </c>
      <c r="AX21" s="41">
        <v>2837912.85</v>
      </c>
      <c r="AY21" s="41">
        <v>3090634.11</v>
      </c>
      <c r="AZ21" s="41">
        <v>3627029.92</v>
      </c>
      <c r="BA21" s="41">
        <v>3353924.53</v>
      </c>
      <c r="BB21" s="41">
        <v>3433218.44</v>
      </c>
      <c r="BC21" s="41">
        <v>3459342.37</v>
      </c>
      <c r="BD21" s="41">
        <v>3376311.4</v>
      </c>
      <c r="BE21" s="42">
        <f t="shared" si="8"/>
        <v>36924567.290000007</v>
      </c>
      <c r="BF21" s="37"/>
      <c r="BG21" s="41">
        <v>0</v>
      </c>
      <c r="BH21" s="41">
        <v>0</v>
      </c>
      <c r="BI21" s="41">
        <v>0</v>
      </c>
      <c r="BJ21" s="41">
        <v>0</v>
      </c>
      <c r="BK21" s="42">
        <f t="shared" si="9"/>
        <v>0</v>
      </c>
      <c r="BL21" s="37"/>
      <c r="BM21" s="42">
        <f t="shared" si="10"/>
        <v>36924567.290000007</v>
      </c>
      <c r="BN21" s="37"/>
      <c r="BO21" s="37"/>
      <c r="BP21" s="37">
        <f t="shared" si="11"/>
        <v>8244661.7000000002</v>
      </c>
      <c r="BQ21" s="37">
        <f t="shared" si="12"/>
        <v>8339444.8200000012</v>
      </c>
      <c r="BR21" s="37">
        <f t="shared" si="13"/>
        <v>10071588.560000004</v>
      </c>
      <c r="BS21" s="37">
        <f t="shared" si="14"/>
        <v>10268872.210000001</v>
      </c>
      <c r="BT21" s="42">
        <f t="shared" si="15"/>
        <v>36924567.290000007</v>
      </c>
      <c r="BU21" s="37"/>
      <c r="BV21" s="37">
        <f>SUM($AS21:AU21)-SUM($BG21:BG21)</f>
        <v>8244661.7000000002</v>
      </c>
      <c r="BW21" s="37">
        <f>SUM($AS21:AX21)-SUM($BG21:BH21)</f>
        <v>16584106.520000001</v>
      </c>
      <c r="BX21" s="37">
        <f>SUM($AS21:BA21)-SUM($BG21:BI21)</f>
        <v>26655695.080000006</v>
      </c>
      <c r="BY21" s="37">
        <f>SUM($AS21:BD21)-SUM($BG21:BJ21)</f>
        <v>36924567.290000007</v>
      </c>
    </row>
    <row r="22" spans="2:77" x14ac:dyDescent="0.25">
      <c r="B22" s="7" t="s">
        <v>81</v>
      </c>
      <c r="C22" s="28">
        <v>930</v>
      </c>
      <c r="D22" t="s">
        <v>162</v>
      </c>
      <c r="E22" t="s">
        <v>163</v>
      </c>
      <c r="F22" s="28" t="s">
        <v>129</v>
      </c>
      <c r="G22" s="28" t="s">
        <v>161</v>
      </c>
      <c r="H22" s="37"/>
      <c r="I22" s="41">
        <v>2233335.41</v>
      </c>
      <c r="J22" s="41">
        <v>2272545.5099999998</v>
      </c>
      <c r="K22" s="41">
        <v>1975817.11</v>
      </c>
      <c r="L22" s="41"/>
      <c r="M22" s="41"/>
      <c r="N22" s="41"/>
      <c r="O22" s="41"/>
      <c r="P22" s="41"/>
      <c r="Q22" s="41"/>
      <c r="R22" s="41"/>
      <c r="S22" s="41"/>
      <c r="T22" s="41"/>
      <c r="U22" s="42">
        <f t="shared" si="0"/>
        <v>6481698.0300000003</v>
      </c>
      <c r="V22" s="37"/>
      <c r="W22" s="41"/>
      <c r="X22" s="41"/>
      <c r="Y22" s="41"/>
      <c r="Z22" s="41"/>
      <c r="AA22" s="42">
        <f t="shared" si="1"/>
        <v>0</v>
      </c>
      <c r="AB22" s="37"/>
      <c r="AC22" s="42">
        <f t="shared" si="2"/>
        <v>6481698.0300000003</v>
      </c>
      <c r="AD22" s="37"/>
      <c r="AE22" s="37"/>
      <c r="AF22" s="37">
        <f t="shared" si="3"/>
        <v>6481698.0300000003</v>
      </c>
      <c r="AG22" s="37">
        <f t="shared" si="4"/>
        <v>0</v>
      </c>
      <c r="AH22" s="37">
        <f t="shared" si="5"/>
        <v>0</v>
      </c>
      <c r="AI22" s="37">
        <f t="shared" si="6"/>
        <v>0</v>
      </c>
      <c r="AJ22" s="42">
        <f t="shared" si="7"/>
        <v>6481698.0300000003</v>
      </c>
      <c r="AK22" s="37"/>
      <c r="AL22" s="37">
        <f>SUM($I22:K22)-SUM($W22:W22)</f>
        <v>6481698.0300000003</v>
      </c>
      <c r="AM22" s="37">
        <f>SUM($I22:N22)-SUM($W22:X22)</f>
        <v>6481698.0300000003</v>
      </c>
      <c r="AN22" s="37">
        <f>SUM($I22:Q22)-SUM($W22:Y22)</f>
        <v>6481698.0300000003</v>
      </c>
      <c r="AO22" s="37">
        <f>SUM($I22:T22)-SUM($W22:Z22)</f>
        <v>6481698.0300000003</v>
      </c>
      <c r="AP22" s="37"/>
      <c r="AQ22" s="37"/>
      <c r="AR22" s="37"/>
      <c r="AS22" s="41">
        <v>1895456.97</v>
      </c>
      <c r="AT22" s="41">
        <v>1894381.34</v>
      </c>
      <c r="AU22" s="41">
        <v>1928206.67</v>
      </c>
      <c r="AV22" s="41">
        <v>1913794.88</v>
      </c>
      <c r="AW22" s="41">
        <v>1908619.76</v>
      </c>
      <c r="AX22" s="41">
        <v>1943264.34</v>
      </c>
      <c r="AY22" s="41">
        <v>1886000.47</v>
      </c>
      <c r="AZ22" s="41">
        <v>1988765.9</v>
      </c>
      <c r="BA22" s="41">
        <v>2043476.42</v>
      </c>
      <c r="BB22" s="41">
        <v>2010527.45</v>
      </c>
      <c r="BC22" s="41">
        <v>2168671.42</v>
      </c>
      <c r="BD22" s="41">
        <v>2148640.2599999998</v>
      </c>
      <c r="BE22" s="42">
        <f t="shared" si="8"/>
        <v>23729805.879999995</v>
      </c>
      <c r="BF22" s="37"/>
      <c r="BG22" s="41">
        <v>257097.79</v>
      </c>
      <c r="BH22" s="41">
        <v>384925</v>
      </c>
      <c r="BI22" s="41">
        <v>240921</v>
      </c>
      <c r="BJ22" s="41">
        <v>95144</v>
      </c>
      <c r="BK22" s="42">
        <f t="shared" si="9"/>
        <v>978087.79</v>
      </c>
      <c r="BL22" s="37"/>
      <c r="BM22" s="42">
        <f t="shared" si="10"/>
        <v>22751718.089999996</v>
      </c>
      <c r="BN22" s="37"/>
      <c r="BO22" s="37"/>
      <c r="BP22" s="37">
        <f t="shared" si="11"/>
        <v>5460947.1900000004</v>
      </c>
      <c r="BQ22" s="37">
        <f t="shared" si="12"/>
        <v>5380753.9800000014</v>
      </c>
      <c r="BR22" s="37">
        <f t="shared" si="13"/>
        <v>5677321.7899999991</v>
      </c>
      <c r="BS22" s="37">
        <f t="shared" si="14"/>
        <v>6232695.1299999952</v>
      </c>
      <c r="BT22" s="42">
        <f t="shared" si="15"/>
        <v>22751718.089999996</v>
      </c>
      <c r="BU22" s="37"/>
      <c r="BV22" s="37">
        <f>SUM($AS22:AU22)-SUM($BG22:BG22)</f>
        <v>5460947.1900000004</v>
      </c>
      <c r="BW22" s="37">
        <f>SUM($AS22:AX22)-SUM($BG22:BH22)</f>
        <v>10841701.170000002</v>
      </c>
      <c r="BX22" s="37">
        <f>SUM($AS22:BA22)-SUM($BG22:BI22)</f>
        <v>16519022.960000001</v>
      </c>
      <c r="BY22" s="37">
        <f>SUM($AS22:BD22)-SUM($BG22:BJ22)</f>
        <v>22751718.089999996</v>
      </c>
    </row>
    <row r="23" spans="2:77" x14ac:dyDescent="0.25">
      <c r="B23" s="7" t="s">
        <v>87</v>
      </c>
      <c r="C23" s="28">
        <v>936</v>
      </c>
      <c r="D23" t="s">
        <v>164</v>
      </c>
      <c r="E23" t="s">
        <v>165</v>
      </c>
      <c r="F23" s="28" t="s">
        <v>129</v>
      </c>
      <c r="G23" s="28" t="s">
        <v>161</v>
      </c>
      <c r="H23" s="37"/>
      <c r="I23" s="41">
        <v>1817603.8100000003</v>
      </c>
      <c r="J23" s="41">
        <v>1593786.8199999998</v>
      </c>
      <c r="K23" s="41">
        <v>1563430.73</v>
      </c>
      <c r="L23" s="41"/>
      <c r="M23" s="41"/>
      <c r="N23" s="41"/>
      <c r="O23" s="41"/>
      <c r="P23" s="41"/>
      <c r="Q23" s="41"/>
      <c r="R23" s="41"/>
      <c r="S23" s="41"/>
      <c r="T23" s="41"/>
      <c r="U23" s="42">
        <f t="shared" si="0"/>
        <v>4974821.3599999994</v>
      </c>
      <c r="V23" s="37"/>
      <c r="W23" s="41"/>
      <c r="X23" s="41"/>
      <c r="Y23" s="41"/>
      <c r="Z23" s="41"/>
      <c r="AA23" s="42">
        <f t="shared" si="1"/>
        <v>0</v>
      </c>
      <c r="AB23" s="37"/>
      <c r="AC23" s="42">
        <f t="shared" si="2"/>
        <v>4974821.3599999994</v>
      </c>
      <c r="AD23" s="37"/>
      <c r="AE23" s="37"/>
      <c r="AF23" s="37">
        <f t="shared" si="3"/>
        <v>4974821.3599999994</v>
      </c>
      <c r="AG23" s="37">
        <f t="shared" si="4"/>
        <v>0</v>
      </c>
      <c r="AH23" s="37">
        <f t="shared" si="5"/>
        <v>0</v>
      </c>
      <c r="AI23" s="37">
        <f t="shared" si="6"/>
        <v>0</v>
      </c>
      <c r="AJ23" s="42">
        <f t="shared" si="7"/>
        <v>4974821.3599999994</v>
      </c>
      <c r="AK23" s="37"/>
      <c r="AL23" s="37">
        <f>SUM($I23:K23)-SUM($W23:W23)</f>
        <v>4974821.3599999994</v>
      </c>
      <c r="AM23" s="37">
        <f>SUM($I23:N23)-SUM($W23:X23)</f>
        <v>4974821.3599999994</v>
      </c>
      <c r="AN23" s="37">
        <f>SUM($I23:Q23)-SUM($W23:Y23)</f>
        <v>4974821.3599999994</v>
      </c>
      <c r="AO23" s="37">
        <f>SUM($I23:T23)-SUM($W23:Z23)</f>
        <v>4974821.3599999994</v>
      </c>
      <c r="AP23" s="37"/>
      <c r="AQ23" s="37"/>
      <c r="AR23" s="37"/>
      <c r="AS23" s="41">
        <v>441053.60666666657</v>
      </c>
      <c r="AT23" s="41">
        <v>589018.3866666666</v>
      </c>
      <c r="AU23" s="41">
        <v>795957.87666666659</v>
      </c>
      <c r="AV23" s="41">
        <v>695480.32666666654</v>
      </c>
      <c r="AW23" s="41">
        <v>747693.36666666658</v>
      </c>
      <c r="AX23" s="41">
        <v>552358.20666666667</v>
      </c>
      <c r="AY23" s="41">
        <v>712955.62666666659</v>
      </c>
      <c r="AZ23" s="41">
        <v>909372.33666666655</v>
      </c>
      <c r="BA23" s="41">
        <v>823823.82666666654</v>
      </c>
      <c r="BB23" s="41">
        <v>753253.59666666656</v>
      </c>
      <c r="BC23" s="41">
        <v>877501.7466666667</v>
      </c>
      <c r="BD23" s="41">
        <v>728763.3866666666</v>
      </c>
      <c r="BE23" s="42">
        <f t="shared" si="8"/>
        <v>8627232.2899999991</v>
      </c>
      <c r="BF23" s="37"/>
      <c r="BG23" s="41">
        <v>350626.60000000003</v>
      </c>
      <c r="BH23" s="41">
        <v>0</v>
      </c>
      <c r="BI23" s="41">
        <v>0</v>
      </c>
      <c r="BJ23" s="41">
        <v>0</v>
      </c>
      <c r="BK23" s="42">
        <f t="shared" si="9"/>
        <v>350626.60000000003</v>
      </c>
      <c r="BL23" s="37"/>
      <c r="BM23" s="42">
        <f t="shared" si="10"/>
        <v>8276605.6899999995</v>
      </c>
      <c r="BN23" s="37"/>
      <c r="BO23" s="37"/>
      <c r="BP23" s="37">
        <f t="shared" si="11"/>
        <v>1475403.2699999996</v>
      </c>
      <c r="BQ23" s="37">
        <f t="shared" si="12"/>
        <v>1995531.9</v>
      </c>
      <c r="BR23" s="37">
        <f t="shared" si="13"/>
        <v>2446151.7900000005</v>
      </c>
      <c r="BS23" s="37">
        <f t="shared" si="14"/>
        <v>2359518.7299999995</v>
      </c>
      <c r="BT23" s="42">
        <f t="shared" si="15"/>
        <v>8276605.6899999995</v>
      </c>
      <c r="BU23" s="37"/>
      <c r="BV23" s="37">
        <f>SUM($AS23:AU23)-SUM($BG23:BG23)</f>
        <v>1475403.2699999996</v>
      </c>
      <c r="BW23" s="37">
        <f>SUM($AS23:AX23)-SUM($BG23:BH23)</f>
        <v>3470935.1699999995</v>
      </c>
      <c r="BX23" s="37">
        <f>SUM($AS23:BA23)-SUM($BG23:BI23)</f>
        <v>5917086.96</v>
      </c>
      <c r="BY23" s="37">
        <f>SUM($AS23:BD23)-SUM($BG23:BJ23)</f>
        <v>8276605.6899999995</v>
      </c>
    </row>
    <row r="24" spans="2:77" x14ac:dyDescent="0.25">
      <c r="B24" s="7"/>
      <c r="C24" s="28">
        <v>980</v>
      </c>
      <c r="D24" t="s">
        <v>166</v>
      </c>
      <c r="E24" t="s">
        <v>167</v>
      </c>
      <c r="F24" s="28" t="s">
        <v>129</v>
      </c>
      <c r="G24" s="28" t="s">
        <v>168</v>
      </c>
      <c r="H24" s="37"/>
      <c r="I24" s="41">
        <v>0</v>
      </c>
      <c r="J24" s="41">
        <v>0</v>
      </c>
      <c r="K24" s="41">
        <v>0</v>
      </c>
      <c r="L24" s="41"/>
      <c r="M24" s="41"/>
      <c r="N24" s="41"/>
      <c r="O24" s="41"/>
      <c r="P24" s="41"/>
      <c r="Q24" s="41"/>
      <c r="R24" s="41"/>
      <c r="S24" s="41"/>
      <c r="T24" s="41"/>
      <c r="U24" s="42">
        <f t="shared" si="0"/>
        <v>0</v>
      </c>
      <c r="V24" s="37"/>
      <c r="W24" s="41"/>
      <c r="X24" s="41"/>
      <c r="Y24" s="41"/>
      <c r="Z24" s="41"/>
      <c r="AA24" s="42">
        <f t="shared" si="1"/>
        <v>0</v>
      </c>
      <c r="AB24" s="37"/>
      <c r="AC24" s="42">
        <f t="shared" si="2"/>
        <v>0</v>
      </c>
      <c r="AD24" s="37"/>
      <c r="AE24" s="37"/>
      <c r="AF24" s="37">
        <f t="shared" si="3"/>
        <v>0</v>
      </c>
      <c r="AG24" s="37">
        <f t="shared" si="4"/>
        <v>0</v>
      </c>
      <c r="AH24" s="37">
        <f t="shared" si="5"/>
        <v>0</v>
      </c>
      <c r="AI24" s="37">
        <f t="shared" si="6"/>
        <v>0</v>
      </c>
      <c r="AJ24" s="42">
        <f t="shared" si="7"/>
        <v>0</v>
      </c>
      <c r="AK24" s="37"/>
      <c r="AL24" s="37">
        <f>SUM($I24:K24)-SUM($W24:W24)</f>
        <v>0</v>
      </c>
      <c r="AM24" s="37">
        <f>SUM($I24:N24)-SUM($W24:X24)</f>
        <v>0</v>
      </c>
      <c r="AN24" s="37">
        <f>SUM($I24:Q24)-SUM($W24:Y24)</f>
        <v>0</v>
      </c>
      <c r="AO24" s="37">
        <f>SUM($I24:T24)-SUM($W24:Z24)</f>
        <v>0</v>
      </c>
      <c r="AP24" s="37"/>
      <c r="AQ24" s="37"/>
      <c r="AR24" s="37"/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2">
        <f t="shared" si="8"/>
        <v>0</v>
      </c>
      <c r="BF24" s="37"/>
      <c r="BG24" s="41">
        <v>0</v>
      </c>
      <c r="BH24" s="41">
        <v>0</v>
      </c>
      <c r="BI24" s="41">
        <v>0</v>
      </c>
      <c r="BJ24" s="41">
        <v>0</v>
      </c>
      <c r="BK24" s="42">
        <f t="shared" si="9"/>
        <v>0</v>
      </c>
      <c r="BL24" s="37"/>
      <c r="BM24" s="42">
        <f t="shared" si="10"/>
        <v>0</v>
      </c>
      <c r="BN24" s="37"/>
      <c r="BO24" s="37"/>
      <c r="BP24" s="37">
        <f t="shared" si="11"/>
        <v>0</v>
      </c>
      <c r="BQ24" s="37">
        <f t="shared" si="12"/>
        <v>0</v>
      </c>
      <c r="BR24" s="37">
        <f t="shared" si="13"/>
        <v>0</v>
      </c>
      <c r="BS24" s="37">
        <f t="shared" si="14"/>
        <v>0</v>
      </c>
      <c r="BT24" s="42">
        <f t="shared" si="15"/>
        <v>0</v>
      </c>
      <c r="BU24" s="37"/>
      <c r="BV24" s="37">
        <f>SUM($AS24:AU24)-SUM($BG24:BG24)</f>
        <v>0</v>
      </c>
      <c r="BW24" s="37">
        <f>SUM($AS24:AX24)-SUM($BG24:BH24)</f>
        <v>0</v>
      </c>
      <c r="BX24" s="37">
        <f>SUM($AS24:BA24)-SUM($BG24:BI24)</f>
        <v>0</v>
      </c>
      <c r="BY24" s="37">
        <f>SUM($AS24:BD24)-SUM($BG24:BJ24)</f>
        <v>0</v>
      </c>
    </row>
    <row r="25" spans="2:77" x14ac:dyDescent="0.25">
      <c r="B25" s="7" t="s">
        <v>89</v>
      </c>
      <c r="C25" s="28">
        <v>981</v>
      </c>
      <c r="D25" t="s">
        <v>169</v>
      </c>
      <c r="E25" t="s">
        <v>170</v>
      </c>
      <c r="F25" s="28" t="s">
        <v>129</v>
      </c>
      <c r="G25" s="28" t="s">
        <v>161</v>
      </c>
      <c r="H25" s="37"/>
      <c r="I25" s="41">
        <v>6285552.46</v>
      </c>
      <c r="J25" s="41">
        <v>6285701.9100000001</v>
      </c>
      <c r="K25" s="41">
        <v>6294144.9400000004</v>
      </c>
      <c r="L25" s="41"/>
      <c r="M25" s="41"/>
      <c r="N25" s="41"/>
      <c r="O25" s="41"/>
      <c r="P25" s="41"/>
      <c r="Q25" s="41"/>
      <c r="R25" s="41"/>
      <c r="S25" s="41"/>
      <c r="T25" s="41"/>
      <c r="U25" s="42">
        <f t="shared" si="0"/>
        <v>18865399.310000002</v>
      </c>
      <c r="V25" s="37"/>
      <c r="W25" s="41"/>
      <c r="X25" s="41"/>
      <c r="Y25" s="41"/>
      <c r="Z25" s="41"/>
      <c r="AA25" s="42">
        <f t="shared" si="1"/>
        <v>0</v>
      </c>
      <c r="AB25" s="37"/>
      <c r="AC25" s="42">
        <f t="shared" si="2"/>
        <v>18865399.310000002</v>
      </c>
      <c r="AD25" s="37"/>
      <c r="AE25" s="37"/>
      <c r="AF25" s="37">
        <f t="shared" si="3"/>
        <v>18865399.310000002</v>
      </c>
      <c r="AG25" s="37">
        <f t="shared" si="4"/>
        <v>0</v>
      </c>
      <c r="AH25" s="37">
        <f t="shared" si="5"/>
        <v>0</v>
      </c>
      <c r="AI25" s="37">
        <f t="shared" si="6"/>
        <v>0</v>
      </c>
      <c r="AJ25" s="42">
        <f t="shared" si="7"/>
        <v>18865399.310000002</v>
      </c>
      <c r="AK25" s="37"/>
      <c r="AL25" s="37">
        <f>SUM($I25:K25)-SUM($W25:W25)</f>
        <v>18865399.310000002</v>
      </c>
      <c r="AM25" s="37">
        <f>SUM($I25:N25)-SUM($W25:X25)</f>
        <v>18865399.310000002</v>
      </c>
      <c r="AN25" s="37">
        <f>SUM($I25:Q25)-SUM($W25:Y25)</f>
        <v>18865399.310000002</v>
      </c>
      <c r="AO25" s="37">
        <f>SUM($I25:T25)-SUM($W25:Z25)</f>
        <v>18865399.310000002</v>
      </c>
      <c r="AP25" s="37"/>
      <c r="AQ25" s="37"/>
      <c r="AR25" s="37"/>
      <c r="AS25" s="41">
        <v>5597500.5199999996</v>
      </c>
      <c r="AT25" s="41">
        <v>5248275.79</v>
      </c>
      <c r="AU25" s="41">
        <v>5263357.59</v>
      </c>
      <c r="AV25" s="41">
        <v>5450604.6699999999</v>
      </c>
      <c r="AW25" s="41">
        <v>5131409.43</v>
      </c>
      <c r="AX25" s="41">
        <v>5488647</v>
      </c>
      <c r="AY25" s="41">
        <v>5625054.2800000003</v>
      </c>
      <c r="AZ25" s="41">
        <v>6252595.9100000001</v>
      </c>
      <c r="BA25" s="41">
        <v>5849321.2000000002</v>
      </c>
      <c r="BB25" s="41">
        <v>6274204.6399999997</v>
      </c>
      <c r="BC25" s="41">
        <v>6431489.9699999997</v>
      </c>
      <c r="BD25" s="41">
        <v>6545476.6399999997</v>
      </c>
      <c r="BE25" s="42">
        <f t="shared" si="8"/>
        <v>69157937.640000001</v>
      </c>
      <c r="BF25" s="37"/>
      <c r="BG25" s="41">
        <v>0</v>
      </c>
      <c r="BH25" s="41">
        <v>0</v>
      </c>
      <c r="BI25" s="41">
        <v>0</v>
      </c>
      <c r="BJ25" s="41">
        <v>0</v>
      </c>
      <c r="BK25" s="42">
        <f t="shared" si="9"/>
        <v>0</v>
      </c>
      <c r="BL25" s="37"/>
      <c r="BM25" s="42">
        <f t="shared" si="10"/>
        <v>69157937.640000001</v>
      </c>
      <c r="BN25" s="37"/>
      <c r="BO25" s="37"/>
      <c r="BP25" s="37">
        <f t="shared" si="11"/>
        <v>16109133.899999999</v>
      </c>
      <c r="BQ25" s="37">
        <f t="shared" si="12"/>
        <v>16070661.100000001</v>
      </c>
      <c r="BR25" s="37">
        <f t="shared" si="13"/>
        <v>17726971.390000001</v>
      </c>
      <c r="BS25" s="37">
        <f t="shared" si="14"/>
        <v>19251171.25</v>
      </c>
      <c r="BT25" s="42">
        <f t="shared" si="15"/>
        <v>69157937.640000001</v>
      </c>
      <c r="BU25" s="37"/>
      <c r="BV25" s="37">
        <f>SUM($AS25:AU25)-SUM($BG25:BG25)</f>
        <v>16109133.899999999</v>
      </c>
      <c r="BW25" s="37">
        <f>SUM($AS25:AX25)-SUM($BG25:BH25)</f>
        <v>32179795</v>
      </c>
      <c r="BX25" s="37">
        <f>SUM($AS25:BA25)-SUM($BG25:BI25)</f>
        <v>49906766.390000001</v>
      </c>
      <c r="BY25" s="37">
        <f>SUM($AS25:BD25)-SUM($BG25:BJ25)</f>
        <v>69157937.640000001</v>
      </c>
    </row>
    <row r="26" spans="2:77" x14ac:dyDescent="0.25">
      <c r="B26" s="7" t="s">
        <v>171</v>
      </c>
      <c r="C26" s="28">
        <v>928</v>
      </c>
      <c r="D26" t="s">
        <v>172</v>
      </c>
      <c r="E26" t="s">
        <v>146</v>
      </c>
      <c r="F26" s="28" t="s">
        <v>129</v>
      </c>
      <c r="G26" s="28" t="s">
        <v>158</v>
      </c>
      <c r="H26" s="37"/>
      <c r="I26" s="41">
        <v>0</v>
      </c>
      <c r="J26" s="41">
        <v>0</v>
      </c>
      <c r="K26" s="41">
        <v>0</v>
      </c>
      <c r="L26" s="41"/>
      <c r="M26" s="41"/>
      <c r="N26" s="41"/>
      <c r="O26" s="41"/>
      <c r="P26" s="41"/>
      <c r="Q26" s="41"/>
      <c r="R26" s="41"/>
      <c r="S26" s="41"/>
      <c r="T26" s="41"/>
      <c r="U26" s="42">
        <f t="shared" si="0"/>
        <v>0</v>
      </c>
      <c r="V26" s="37"/>
      <c r="W26" s="41"/>
      <c r="X26" s="41"/>
      <c r="Y26" s="41"/>
      <c r="Z26" s="41"/>
      <c r="AA26" s="42">
        <f t="shared" si="1"/>
        <v>0</v>
      </c>
      <c r="AB26" s="37"/>
      <c r="AC26" s="42">
        <f t="shared" si="2"/>
        <v>0</v>
      </c>
      <c r="AD26" s="37"/>
      <c r="AE26" s="37"/>
      <c r="AF26" s="37">
        <f t="shared" si="3"/>
        <v>0</v>
      </c>
      <c r="AG26" s="37">
        <f t="shared" si="4"/>
        <v>0</v>
      </c>
      <c r="AH26" s="37">
        <f t="shared" si="5"/>
        <v>0</v>
      </c>
      <c r="AI26" s="37">
        <f t="shared" si="6"/>
        <v>0</v>
      </c>
      <c r="AJ26" s="42">
        <f t="shared" si="7"/>
        <v>0</v>
      </c>
      <c r="AK26" s="37"/>
      <c r="AL26" s="37">
        <f>SUM($I26:K26)-SUM($W26:W26)</f>
        <v>0</v>
      </c>
      <c r="AM26" s="37">
        <f>SUM($I26:N26)-SUM($W26:X26)</f>
        <v>0</v>
      </c>
      <c r="AN26" s="37">
        <f>SUM($I26:Q26)-SUM($W26:Y26)</f>
        <v>0</v>
      </c>
      <c r="AO26" s="37">
        <f>SUM($I26:T26)-SUM($W26:Z26)</f>
        <v>0</v>
      </c>
      <c r="AP26" s="37"/>
      <c r="AQ26" s="37"/>
      <c r="AR26" s="37"/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2">
        <f t="shared" si="8"/>
        <v>0</v>
      </c>
      <c r="BF26" s="37"/>
      <c r="BG26" s="41">
        <v>0</v>
      </c>
      <c r="BH26" s="41">
        <v>0</v>
      </c>
      <c r="BI26" s="41">
        <v>0</v>
      </c>
      <c r="BJ26" s="41">
        <v>0</v>
      </c>
      <c r="BK26" s="42">
        <f t="shared" si="9"/>
        <v>0</v>
      </c>
      <c r="BL26" s="37"/>
      <c r="BM26" s="42">
        <f t="shared" si="10"/>
        <v>0</v>
      </c>
      <c r="BN26" s="37"/>
      <c r="BO26" s="37"/>
      <c r="BP26" s="37">
        <f t="shared" si="11"/>
        <v>0</v>
      </c>
      <c r="BQ26" s="37">
        <f t="shared" si="12"/>
        <v>0</v>
      </c>
      <c r="BR26" s="37">
        <f t="shared" si="13"/>
        <v>0</v>
      </c>
      <c r="BS26" s="37">
        <f t="shared" si="14"/>
        <v>0</v>
      </c>
      <c r="BT26" s="42">
        <f t="shared" si="15"/>
        <v>0</v>
      </c>
      <c r="BU26" s="37"/>
      <c r="BV26" s="37">
        <f>SUM($AS26:AU26)-SUM($BG26:BG26)</f>
        <v>0</v>
      </c>
      <c r="BW26" s="37">
        <f>SUM($AS26:AX26)-SUM($BG26:BH26)</f>
        <v>0</v>
      </c>
      <c r="BX26" s="37">
        <f>SUM($AS26:BA26)-SUM($BG26:BI26)</f>
        <v>0</v>
      </c>
      <c r="BY26" s="37">
        <f>SUM($AS26:BD26)-SUM($BG26:BJ26)</f>
        <v>0</v>
      </c>
    </row>
    <row r="27" spans="2:77" x14ac:dyDescent="0.25">
      <c r="B27" s="7" t="s">
        <v>43</v>
      </c>
      <c r="C27" t="s">
        <v>173</v>
      </c>
      <c r="D27" t="s">
        <v>174</v>
      </c>
      <c r="E27" t="s">
        <v>175</v>
      </c>
      <c r="F27" s="28" t="s">
        <v>176</v>
      </c>
      <c r="G27" s="28" t="s">
        <v>130</v>
      </c>
      <c r="H27" s="37"/>
      <c r="I27" s="41">
        <v>3506215.93</v>
      </c>
      <c r="J27" s="41">
        <v>3346641.69</v>
      </c>
      <c r="K27" s="41">
        <v>3168999.24</v>
      </c>
      <c r="L27" s="41"/>
      <c r="M27" s="41"/>
      <c r="N27" s="41"/>
      <c r="O27" s="41"/>
      <c r="P27" s="41"/>
      <c r="Q27" s="41"/>
      <c r="R27" s="41"/>
      <c r="S27" s="41"/>
      <c r="T27" s="41"/>
      <c r="U27" s="42">
        <f t="shared" si="0"/>
        <v>10021856.859999999</v>
      </c>
      <c r="V27" s="37"/>
      <c r="W27" s="41"/>
      <c r="X27" s="41"/>
      <c r="Y27" s="41"/>
      <c r="Z27" s="41"/>
      <c r="AA27" s="42">
        <f t="shared" si="1"/>
        <v>0</v>
      </c>
      <c r="AB27" s="37"/>
      <c r="AC27" s="42">
        <f t="shared" si="2"/>
        <v>10021856.859999999</v>
      </c>
      <c r="AD27" s="37"/>
      <c r="AE27" s="37"/>
      <c r="AF27" s="37">
        <f t="shared" si="3"/>
        <v>10021856.859999999</v>
      </c>
      <c r="AG27" s="37">
        <f t="shared" si="4"/>
        <v>0</v>
      </c>
      <c r="AH27" s="37">
        <f t="shared" si="5"/>
        <v>0</v>
      </c>
      <c r="AI27" s="37">
        <f t="shared" si="6"/>
        <v>0</v>
      </c>
      <c r="AJ27" s="42">
        <f t="shared" si="7"/>
        <v>10021856.859999999</v>
      </c>
      <c r="AK27" s="37"/>
      <c r="AL27" s="37">
        <f>SUM($I27:K27)-SUM($W27:W27)</f>
        <v>10021856.859999999</v>
      </c>
      <c r="AM27" s="37">
        <f>SUM($I27:N27)-SUM($W27:X27)</f>
        <v>10021856.859999999</v>
      </c>
      <c r="AN27" s="37">
        <f>SUM($I27:Q27)-SUM($W27:Y27)</f>
        <v>10021856.859999999</v>
      </c>
      <c r="AO27" s="37">
        <f>SUM($I27:T27)-SUM($W27:Z27)</f>
        <v>10021856.859999999</v>
      </c>
      <c r="AP27" s="37"/>
      <c r="AQ27" s="37"/>
      <c r="AR27" s="37"/>
      <c r="AS27" s="41">
        <v>3066015.27</v>
      </c>
      <c r="AT27" s="41">
        <v>2587963.2200000002</v>
      </c>
      <c r="AU27" s="41">
        <v>2739444.36</v>
      </c>
      <c r="AV27" s="41">
        <v>2585866.0699999998</v>
      </c>
      <c r="AW27" s="41">
        <v>2963032.67</v>
      </c>
      <c r="AX27" s="41">
        <v>3079520.71</v>
      </c>
      <c r="AY27" s="41">
        <v>3123541.64</v>
      </c>
      <c r="AZ27" s="41">
        <v>2925135.37</v>
      </c>
      <c r="BA27" s="41">
        <v>2909815.25</v>
      </c>
      <c r="BB27" s="41">
        <v>3057297.86</v>
      </c>
      <c r="BC27" s="41">
        <v>3043816.76</v>
      </c>
      <c r="BD27" s="41">
        <v>3222275.65</v>
      </c>
      <c r="BE27" s="42">
        <f t="shared" si="8"/>
        <v>35303724.829999998</v>
      </c>
      <c r="BF27" s="37"/>
      <c r="BG27" s="41">
        <v>0</v>
      </c>
      <c r="BH27" s="41">
        <v>0</v>
      </c>
      <c r="BI27" s="41">
        <v>0</v>
      </c>
      <c r="BJ27" s="41">
        <v>0</v>
      </c>
      <c r="BK27" s="42">
        <f t="shared" si="9"/>
        <v>0</v>
      </c>
      <c r="BL27" s="37"/>
      <c r="BM27" s="42">
        <f t="shared" si="10"/>
        <v>35303724.829999998</v>
      </c>
      <c r="BN27" s="37"/>
      <c r="BO27" s="37"/>
      <c r="BP27" s="37">
        <f t="shared" si="11"/>
        <v>8393422.8499999996</v>
      </c>
      <c r="BQ27" s="37">
        <f t="shared" si="12"/>
        <v>8628419.4500000011</v>
      </c>
      <c r="BR27" s="37">
        <f t="shared" si="13"/>
        <v>8958492.2600000016</v>
      </c>
      <c r="BS27" s="37">
        <f t="shared" si="14"/>
        <v>9323390.2699999958</v>
      </c>
      <c r="BT27" s="42">
        <f t="shared" si="15"/>
        <v>35303724.829999998</v>
      </c>
      <c r="BU27" s="37"/>
      <c r="BV27" s="37">
        <f>SUM($AS27:AU27)-SUM($BG27:BG27)</f>
        <v>8393422.8499999996</v>
      </c>
      <c r="BW27" s="37">
        <f>SUM($AS27:AX27)-SUM($BG27:BH27)</f>
        <v>17021842.300000001</v>
      </c>
      <c r="BX27" s="37">
        <f>SUM($AS27:BA27)-SUM($BG27:BI27)</f>
        <v>25980334.560000002</v>
      </c>
      <c r="BY27" s="37">
        <f>SUM($AS27:BD27)-SUM($BG27:BJ27)</f>
        <v>35303724.829999998</v>
      </c>
    </row>
    <row r="28" spans="2:77" x14ac:dyDescent="0.25">
      <c r="B28" s="7" t="s">
        <v>23</v>
      </c>
      <c r="C28" t="s">
        <v>177</v>
      </c>
      <c r="D28" t="s">
        <v>178</v>
      </c>
      <c r="E28" t="s">
        <v>179</v>
      </c>
      <c r="F28" s="28" t="s">
        <v>176</v>
      </c>
      <c r="G28" s="28" t="s">
        <v>130</v>
      </c>
      <c r="H28" s="37"/>
      <c r="I28" s="41">
        <v>5647051.4400000004</v>
      </c>
      <c r="J28" s="41">
        <v>6498559.7699999996</v>
      </c>
      <c r="K28" s="41">
        <v>5707808.2000000002</v>
      </c>
      <c r="L28" s="41"/>
      <c r="M28" s="41"/>
      <c r="N28" s="41"/>
      <c r="O28" s="41"/>
      <c r="P28" s="41"/>
      <c r="Q28" s="41"/>
      <c r="R28" s="41"/>
      <c r="S28" s="41"/>
      <c r="T28" s="41"/>
      <c r="U28" s="42">
        <f t="shared" si="0"/>
        <v>17853419.41</v>
      </c>
      <c r="V28" s="37"/>
      <c r="W28" s="41"/>
      <c r="X28" s="41"/>
      <c r="Y28" s="41"/>
      <c r="Z28" s="41"/>
      <c r="AA28" s="42">
        <f t="shared" si="1"/>
        <v>0</v>
      </c>
      <c r="AB28" s="37"/>
      <c r="AC28" s="42">
        <f t="shared" si="2"/>
        <v>17853419.41</v>
      </c>
      <c r="AD28" s="37"/>
      <c r="AE28" s="37"/>
      <c r="AF28" s="37">
        <f t="shared" si="3"/>
        <v>17853419.41</v>
      </c>
      <c r="AG28" s="37">
        <f t="shared" si="4"/>
        <v>0</v>
      </c>
      <c r="AH28" s="37">
        <f t="shared" si="5"/>
        <v>0</v>
      </c>
      <c r="AI28" s="37">
        <f t="shared" si="6"/>
        <v>0</v>
      </c>
      <c r="AJ28" s="42">
        <f t="shared" si="7"/>
        <v>17853419.41</v>
      </c>
      <c r="AK28" s="37"/>
      <c r="AL28" s="37">
        <f>SUM($I28:K28)-SUM($W28:W28)</f>
        <v>17853419.41</v>
      </c>
      <c r="AM28" s="37">
        <f>SUM($I28:N28)-SUM($W28:X28)</f>
        <v>17853419.41</v>
      </c>
      <c r="AN28" s="37">
        <f>SUM($I28:Q28)-SUM($W28:Y28)</f>
        <v>17853419.41</v>
      </c>
      <c r="AO28" s="37">
        <f>SUM($I28:T28)-SUM($W28:Z28)</f>
        <v>17853419.41</v>
      </c>
      <c r="AP28" s="37"/>
      <c r="AQ28" s="37"/>
      <c r="AR28" s="37"/>
      <c r="AS28" s="41">
        <v>4795789.05</v>
      </c>
      <c r="AT28" s="41">
        <v>4569236.7</v>
      </c>
      <c r="AU28" s="41">
        <v>4764185.04</v>
      </c>
      <c r="AV28" s="41">
        <v>4457386.92</v>
      </c>
      <c r="AW28" s="41">
        <v>4534919.12</v>
      </c>
      <c r="AX28" s="41">
        <v>4454759.5</v>
      </c>
      <c r="AY28" s="41">
        <v>5017619.7699999996</v>
      </c>
      <c r="AZ28" s="41">
        <v>4729837.72</v>
      </c>
      <c r="BA28" s="41">
        <v>5684465.4400000004</v>
      </c>
      <c r="BB28" s="41">
        <v>5722984.8099999996</v>
      </c>
      <c r="BC28" s="41">
        <v>5710921.7300000004</v>
      </c>
      <c r="BD28" s="41">
        <v>5411356.0700000003</v>
      </c>
      <c r="BE28" s="42">
        <f t="shared" si="8"/>
        <v>59853461.869999997</v>
      </c>
      <c r="BF28" s="37"/>
      <c r="BG28" s="41">
        <v>0</v>
      </c>
      <c r="BH28" s="41">
        <v>0</v>
      </c>
      <c r="BI28" s="41">
        <v>0</v>
      </c>
      <c r="BJ28" s="41">
        <v>0</v>
      </c>
      <c r="BK28" s="42">
        <f t="shared" si="9"/>
        <v>0</v>
      </c>
      <c r="BL28" s="37"/>
      <c r="BM28" s="42">
        <f t="shared" si="10"/>
        <v>59853461.869999997</v>
      </c>
      <c r="BN28" s="37"/>
      <c r="BO28" s="37"/>
      <c r="BP28" s="37">
        <f t="shared" si="11"/>
        <v>14129210.789999999</v>
      </c>
      <c r="BQ28" s="37">
        <f t="shared" si="12"/>
        <v>13447065.540000003</v>
      </c>
      <c r="BR28" s="37">
        <f t="shared" si="13"/>
        <v>15431922.929999996</v>
      </c>
      <c r="BS28" s="37">
        <f t="shared" si="14"/>
        <v>16845262.609999999</v>
      </c>
      <c r="BT28" s="42">
        <f t="shared" si="15"/>
        <v>59853461.869999997</v>
      </c>
      <c r="BU28" s="37"/>
      <c r="BV28" s="37">
        <f>SUM($AS28:AU28)-SUM($BG28:BG28)</f>
        <v>14129210.789999999</v>
      </c>
      <c r="BW28" s="37">
        <f>SUM($AS28:AX28)-SUM($BG28:BH28)</f>
        <v>27576276.330000002</v>
      </c>
      <c r="BX28" s="37">
        <f>SUM($AS28:BA28)-SUM($BG28:BI28)</f>
        <v>43008199.259999998</v>
      </c>
      <c r="BY28" s="37">
        <f>SUM($AS28:BD28)-SUM($BG28:BJ28)</f>
        <v>59853461.869999997</v>
      </c>
    </row>
    <row r="29" spans="2:77" x14ac:dyDescent="0.25">
      <c r="B29" s="7" t="s">
        <v>59</v>
      </c>
      <c r="C29" t="s">
        <v>180</v>
      </c>
      <c r="D29" t="s">
        <v>181</v>
      </c>
      <c r="E29" t="s">
        <v>182</v>
      </c>
      <c r="F29" s="28" t="s">
        <v>176</v>
      </c>
      <c r="G29" s="28" t="s">
        <v>130</v>
      </c>
      <c r="H29" s="37"/>
      <c r="I29" s="41">
        <v>1591453.58</v>
      </c>
      <c r="J29" s="41">
        <v>1568716.42</v>
      </c>
      <c r="K29" s="41">
        <v>1545398.14</v>
      </c>
      <c r="L29" s="41"/>
      <c r="M29" s="41"/>
      <c r="N29" s="41"/>
      <c r="O29" s="41"/>
      <c r="P29" s="41"/>
      <c r="Q29" s="41"/>
      <c r="R29" s="41"/>
      <c r="S29" s="41"/>
      <c r="T29" s="41"/>
      <c r="U29" s="42">
        <f t="shared" si="0"/>
        <v>4705568.1399999997</v>
      </c>
      <c r="V29" s="37"/>
      <c r="W29" s="41"/>
      <c r="X29" s="41"/>
      <c r="Y29" s="41"/>
      <c r="Z29" s="41"/>
      <c r="AA29" s="42">
        <f t="shared" si="1"/>
        <v>0</v>
      </c>
      <c r="AB29" s="37"/>
      <c r="AC29" s="42">
        <f t="shared" si="2"/>
        <v>4705568.1399999997</v>
      </c>
      <c r="AD29" s="37"/>
      <c r="AE29" s="37"/>
      <c r="AF29" s="37">
        <f t="shared" si="3"/>
        <v>4705568.1399999997</v>
      </c>
      <c r="AG29" s="37">
        <f t="shared" si="4"/>
        <v>0</v>
      </c>
      <c r="AH29" s="37">
        <f t="shared" si="5"/>
        <v>0</v>
      </c>
      <c r="AI29" s="37">
        <f t="shared" si="6"/>
        <v>0</v>
      </c>
      <c r="AJ29" s="42">
        <f t="shared" si="7"/>
        <v>4705568.1399999997</v>
      </c>
      <c r="AK29" s="37"/>
      <c r="AL29" s="37">
        <f>SUM($I29:K29)-SUM($W29:W29)</f>
        <v>4705568.1399999997</v>
      </c>
      <c r="AM29" s="37">
        <f>SUM($I29:N29)-SUM($W29:X29)</f>
        <v>4705568.1399999997</v>
      </c>
      <c r="AN29" s="37">
        <f>SUM($I29:Q29)-SUM($W29:Y29)</f>
        <v>4705568.1399999997</v>
      </c>
      <c r="AO29" s="37">
        <f>SUM($I29:T29)-SUM($W29:Z29)</f>
        <v>4705568.1399999997</v>
      </c>
      <c r="AP29" s="37"/>
      <c r="AQ29" s="37"/>
      <c r="AR29" s="37"/>
      <c r="AS29" s="41">
        <v>1617800.21</v>
      </c>
      <c r="AT29" s="41">
        <v>1803652.58</v>
      </c>
      <c r="AU29" s="41">
        <v>1292811.49</v>
      </c>
      <c r="AV29" s="41">
        <v>1129796.04</v>
      </c>
      <c r="AW29" s="41">
        <v>1263802.82</v>
      </c>
      <c r="AX29" s="41">
        <v>1310494.96</v>
      </c>
      <c r="AY29" s="41">
        <v>1337306.4099999999</v>
      </c>
      <c r="AZ29" s="41">
        <v>1397101.55</v>
      </c>
      <c r="BA29" s="41">
        <v>1460840.37</v>
      </c>
      <c r="BB29" s="41">
        <v>1461071.93</v>
      </c>
      <c r="BC29" s="41">
        <v>1488019.91</v>
      </c>
      <c r="BD29" s="41">
        <v>1462871.96</v>
      </c>
      <c r="BE29" s="42">
        <f t="shared" si="8"/>
        <v>17025570.230000004</v>
      </c>
      <c r="BF29" s="37"/>
      <c r="BG29" s="41">
        <v>0</v>
      </c>
      <c r="BH29" s="41">
        <v>0</v>
      </c>
      <c r="BI29" s="41">
        <v>0</v>
      </c>
      <c r="BJ29" s="41">
        <v>0</v>
      </c>
      <c r="BK29" s="42">
        <f t="shared" si="9"/>
        <v>0</v>
      </c>
      <c r="BL29" s="37"/>
      <c r="BM29" s="42">
        <f t="shared" si="10"/>
        <v>17025570.230000004</v>
      </c>
      <c r="BN29" s="37"/>
      <c r="BO29" s="37"/>
      <c r="BP29" s="37">
        <f t="shared" si="11"/>
        <v>4714264.28</v>
      </c>
      <c r="BQ29" s="37">
        <f t="shared" si="12"/>
        <v>3704093.8200000012</v>
      </c>
      <c r="BR29" s="37">
        <f t="shared" si="13"/>
        <v>4195248.3300000019</v>
      </c>
      <c r="BS29" s="37">
        <f t="shared" si="14"/>
        <v>4411963.8000000007</v>
      </c>
      <c r="BT29" s="42">
        <f t="shared" si="15"/>
        <v>17025570.230000004</v>
      </c>
      <c r="BU29" s="37"/>
      <c r="BV29" s="37">
        <f>SUM($AS29:AU29)-SUM($BG29:BG29)</f>
        <v>4714264.28</v>
      </c>
      <c r="BW29" s="37">
        <f>SUM($AS29:AX29)-SUM($BG29:BH29)</f>
        <v>8418358.1000000015</v>
      </c>
      <c r="BX29" s="37">
        <f>SUM($AS29:BA29)-SUM($BG29:BI29)</f>
        <v>12613606.430000003</v>
      </c>
      <c r="BY29" s="37">
        <f>SUM($AS29:BD29)-SUM($BG29:BJ29)</f>
        <v>17025570.230000004</v>
      </c>
    </row>
    <row r="30" spans="2:77" x14ac:dyDescent="0.25">
      <c r="B30" s="7" t="s">
        <v>26</v>
      </c>
      <c r="C30" t="s">
        <v>183</v>
      </c>
      <c r="D30" t="s">
        <v>184</v>
      </c>
      <c r="E30" t="s">
        <v>185</v>
      </c>
      <c r="F30" s="28" t="s">
        <v>176</v>
      </c>
      <c r="G30" s="28" t="s">
        <v>130</v>
      </c>
      <c r="H30" s="37"/>
      <c r="I30" s="41">
        <v>6714555.1699999999</v>
      </c>
      <c r="J30" s="41">
        <v>6838889.4299999997</v>
      </c>
      <c r="K30" s="41">
        <v>6778115.3399999999</v>
      </c>
      <c r="L30" s="41"/>
      <c r="M30" s="41"/>
      <c r="N30" s="41"/>
      <c r="O30" s="41"/>
      <c r="P30" s="41"/>
      <c r="Q30" s="41"/>
      <c r="R30" s="41"/>
      <c r="S30" s="41"/>
      <c r="T30" s="41"/>
      <c r="U30" s="42">
        <f t="shared" si="0"/>
        <v>20331559.939999998</v>
      </c>
      <c r="V30" s="37"/>
      <c r="W30" s="41"/>
      <c r="X30" s="41"/>
      <c r="Y30" s="41"/>
      <c r="Z30" s="41"/>
      <c r="AA30" s="42">
        <f t="shared" si="1"/>
        <v>0</v>
      </c>
      <c r="AB30" s="37"/>
      <c r="AC30" s="42">
        <f t="shared" si="2"/>
        <v>20331559.939999998</v>
      </c>
      <c r="AD30" s="37"/>
      <c r="AE30" s="37"/>
      <c r="AF30" s="37">
        <f t="shared" si="3"/>
        <v>20331559.939999998</v>
      </c>
      <c r="AG30" s="37">
        <f t="shared" si="4"/>
        <v>0</v>
      </c>
      <c r="AH30" s="37">
        <f t="shared" si="5"/>
        <v>0</v>
      </c>
      <c r="AI30" s="37">
        <f t="shared" si="6"/>
        <v>0</v>
      </c>
      <c r="AJ30" s="42">
        <f t="shared" si="7"/>
        <v>20331559.939999998</v>
      </c>
      <c r="AK30" s="37"/>
      <c r="AL30" s="37">
        <f>SUM($I30:K30)-SUM($W30:W30)</f>
        <v>20331559.939999998</v>
      </c>
      <c r="AM30" s="37">
        <f>SUM($I30:N30)-SUM($W30:X30)</f>
        <v>20331559.939999998</v>
      </c>
      <c r="AN30" s="37">
        <f>SUM($I30:Q30)-SUM($W30:Y30)</f>
        <v>20331559.939999998</v>
      </c>
      <c r="AO30" s="37">
        <f>SUM($I30:T30)-SUM($W30:Z30)</f>
        <v>20331559.939999998</v>
      </c>
      <c r="AP30" s="37"/>
      <c r="AQ30" s="37"/>
      <c r="AR30" s="37"/>
      <c r="AS30" s="41">
        <v>5623439.8300000001</v>
      </c>
      <c r="AT30" s="41">
        <v>5298483.5199999996</v>
      </c>
      <c r="AU30" s="41">
        <v>5138676.1900000004</v>
      </c>
      <c r="AV30" s="41">
        <v>5413523.4000000004</v>
      </c>
      <c r="AW30" s="41">
        <v>5413683.04</v>
      </c>
      <c r="AX30" s="41">
        <v>5720340.7300000004</v>
      </c>
      <c r="AY30" s="41">
        <v>6152886.6799999997</v>
      </c>
      <c r="AZ30" s="41">
        <v>6283344.5700000003</v>
      </c>
      <c r="BA30" s="41">
        <v>6917324.3300000001</v>
      </c>
      <c r="BB30" s="41">
        <v>6899808.5999999996</v>
      </c>
      <c r="BC30" s="41">
        <v>7061901.0800000001</v>
      </c>
      <c r="BD30" s="41">
        <v>7048096.8899999997</v>
      </c>
      <c r="BE30" s="42">
        <f t="shared" si="8"/>
        <v>72971508.859999999</v>
      </c>
      <c r="BF30" s="37"/>
      <c r="BG30" s="41">
        <v>0</v>
      </c>
      <c r="BH30" s="41">
        <v>0</v>
      </c>
      <c r="BI30" s="41">
        <v>0</v>
      </c>
      <c r="BJ30" s="41">
        <v>0</v>
      </c>
      <c r="BK30" s="42">
        <f t="shared" si="9"/>
        <v>0</v>
      </c>
      <c r="BL30" s="37"/>
      <c r="BM30" s="42">
        <f t="shared" si="10"/>
        <v>72971508.859999999</v>
      </c>
      <c r="BN30" s="37"/>
      <c r="BO30" s="37"/>
      <c r="BP30" s="37">
        <f t="shared" si="11"/>
        <v>16060599.539999999</v>
      </c>
      <c r="BQ30" s="37">
        <f t="shared" si="12"/>
        <v>16547547.169999998</v>
      </c>
      <c r="BR30" s="37">
        <f t="shared" si="13"/>
        <v>19353555.580000002</v>
      </c>
      <c r="BS30" s="37">
        <f t="shared" si="14"/>
        <v>21009806.57</v>
      </c>
      <c r="BT30" s="42">
        <f t="shared" si="15"/>
        <v>72971508.859999999</v>
      </c>
      <c r="BU30" s="37"/>
      <c r="BV30" s="37">
        <f>SUM($AS30:AU30)-SUM($BG30:BG30)</f>
        <v>16060599.539999999</v>
      </c>
      <c r="BW30" s="37">
        <f>SUM($AS30:AX30)-SUM($BG30:BH30)</f>
        <v>32608146.709999997</v>
      </c>
      <c r="BX30" s="37">
        <f>SUM($AS30:BA30)-SUM($BG30:BI30)</f>
        <v>51961702.289999999</v>
      </c>
      <c r="BY30" s="37">
        <f>SUM($AS30:BD30)-SUM($BG30:BJ30)</f>
        <v>72971508.859999999</v>
      </c>
    </row>
    <row r="31" spans="2:77" x14ac:dyDescent="0.25">
      <c r="B31" s="7" t="s">
        <v>186</v>
      </c>
      <c r="C31" t="s">
        <v>187</v>
      </c>
      <c r="D31" t="s">
        <v>188</v>
      </c>
      <c r="E31" t="s">
        <v>189</v>
      </c>
      <c r="F31" s="28"/>
      <c r="G31" s="28" t="s">
        <v>130</v>
      </c>
      <c r="H31" s="37"/>
      <c r="I31" s="41">
        <v>0</v>
      </c>
      <c r="J31" s="41">
        <v>0</v>
      </c>
      <c r="K31" s="41">
        <v>0</v>
      </c>
      <c r="L31" s="41"/>
      <c r="M31" s="41"/>
      <c r="N31" s="41"/>
      <c r="O31" s="41"/>
      <c r="P31" s="41"/>
      <c r="Q31" s="41"/>
      <c r="R31" s="41"/>
      <c r="S31" s="41"/>
      <c r="T31" s="41"/>
      <c r="U31" s="42">
        <f t="shared" si="0"/>
        <v>0</v>
      </c>
      <c r="V31" s="37"/>
      <c r="W31" s="41"/>
      <c r="X31" s="41"/>
      <c r="Y31" s="41"/>
      <c r="Z31" s="41"/>
      <c r="AA31" s="42">
        <f t="shared" si="1"/>
        <v>0</v>
      </c>
      <c r="AB31" s="37"/>
      <c r="AC31" s="42">
        <f t="shared" si="2"/>
        <v>0</v>
      </c>
      <c r="AD31" s="37"/>
      <c r="AE31" s="37"/>
      <c r="AF31" s="37">
        <f t="shared" si="3"/>
        <v>0</v>
      </c>
      <c r="AG31" s="37">
        <f t="shared" si="4"/>
        <v>0</v>
      </c>
      <c r="AH31" s="37">
        <f t="shared" si="5"/>
        <v>0</v>
      </c>
      <c r="AI31" s="37">
        <f t="shared" si="6"/>
        <v>0</v>
      </c>
      <c r="AJ31" s="42">
        <f t="shared" si="7"/>
        <v>0</v>
      </c>
      <c r="AK31" s="37"/>
      <c r="AL31" s="37">
        <f>SUM($I31:K31)-SUM($W31:W31)</f>
        <v>0</v>
      </c>
      <c r="AM31" s="37">
        <f>SUM($I31:N31)-SUM($W31:X31)</f>
        <v>0</v>
      </c>
      <c r="AN31" s="37">
        <f>SUM($I31:Q31)-SUM($W31:Y31)</f>
        <v>0</v>
      </c>
      <c r="AO31" s="37">
        <f>SUM($I31:T31)-SUM($W31:Z31)</f>
        <v>0</v>
      </c>
      <c r="AP31" s="37"/>
      <c r="AQ31" s="37"/>
      <c r="AR31" s="37"/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2">
        <f t="shared" si="8"/>
        <v>0</v>
      </c>
      <c r="BF31" s="37"/>
      <c r="BG31" s="41">
        <v>0</v>
      </c>
      <c r="BH31" s="41">
        <v>0</v>
      </c>
      <c r="BI31" s="41">
        <v>0</v>
      </c>
      <c r="BJ31" s="41">
        <v>0</v>
      </c>
      <c r="BK31" s="42">
        <f t="shared" si="9"/>
        <v>0</v>
      </c>
      <c r="BL31" s="37"/>
      <c r="BM31" s="42">
        <f t="shared" si="10"/>
        <v>0</v>
      </c>
      <c r="BN31" s="37"/>
      <c r="BO31" s="37"/>
      <c r="BP31" s="37">
        <f t="shared" si="11"/>
        <v>0</v>
      </c>
      <c r="BQ31" s="37">
        <f t="shared" si="12"/>
        <v>0</v>
      </c>
      <c r="BR31" s="37">
        <f t="shared" si="13"/>
        <v>0</v>
      </c>
      <c r="BS31" s="37">
        <f t="shared" si="14"/>
        <v>0</v>
      </c>
      <c r="BT31" s="42">
        <f t="shared" si="15"/>
        <v>0</v>
      </c>
      <c r="BU31" s="37"/>
      <c r="BV31" s="37">
        <f>SUM($AS31:AU31)-SUM($BG31:BG31)</f>
        <v>0</v>
      </c>
      <c r="BW31" s="37">
        <f>SUM($AS31:AX31)-SUM($BG31:BH31)</f>
        <v>0</v>
      </c>
      <c r="BX31" s="37">
        <f>SUM($AS31:BA31)-SUM($BG31:BI31)</f>
        <v>0</v>
      </c>
      <c r="BY31" s="37">
        <f>SUM($AS31:BD31)-SUM($BG31:BJ31)</f>
        <v>0</v>
      </c>
    </row>
    <row r="32" spans="2:77" x14ac:dyDescent="0.25">
      <c r="B32" s="7" t="s">
        <v>31</v>
      </c>
      <c r="C32" t="s">
        <v>191</v>
      </c>
      <c r="D32" t="s">
        <v>192</v>
      </c>
      <c r="E32" t="s">
        <v>193</v>
      </c>
      <c r="F32" s="28" t="s">
        <v>190</v>
      </c>
      <c r="G32" s="28" t="s">
        <v>130</v>
      </c>
      <c r="H32" s="37"/>
      <c r="I32" s="41">
        <v>6970268.3200000003</v>
      </c>
      <c r="J32" s="41">
        <v>6484259.1600000001</v>
      </c>
      <c r="K32" s="41">
        <v>6296148.9699999997</v>
      </c>
      <c r="L32" s="41"/>
      <c r="M32" s="41"/>
      <c r="N32" s="41"/>
      <c r="O32" s="41"/>
      <c r="P32" s="41"/>
      <c r="Q32" s="41"/>
      <c r="R32" s="41"/>
      <c r="S32" s="41"/>
      <c r="T32" s="41"/>
      <c r="U32" s="42">
        <f t="shared" si="0"/>
        <v>19750676.449999999</v>
      </c>
      <c r="V32" s="37"/>
      <c r="W32" s="41"/>
      <c r="X32" s="41"/>
      <c r="Y32" s="41"/>
      <c r="Z32" s="41"/>
      <c r="AA32" s="42">
        <f t="shared" si="1"/>
        <v>0</v>
      </c>
      <c r="AB32" s="37"/>
      <c r="AC32" s="42">
        <f t="shared" si="2"/>
        <v>19750676.449999999</v>
      </c>
      <c r="AD32" s="37"/>
      <c r="AE32" s="37"/>
      <c r="AF32" s="37">
        <f t="shared" si="3"/>
        <v>19750676.449999999</v>
      </c>
      <c r="AG32" s="37">
        <f t="shared" si="4"/>
        <v>0</v>
      </c>
      <c r="AH32" s="37">
        <f t="shared" si="5"/>
        <v>0</v>
      </c>
      <c r="AI32" s="37">
        <f t="shared" si="6"/>
        <v>0</v>
      </c>
      <c r="AJ32" s="42">
        <f t="shared" si="7"/>
        <v>19750676.449999999</v>
      </c>
      <c r="AK32" s="37"/>
      <c r="AL32" s="37">
        <f>SUM($I32:K32)-SUM($W32:W32)</f>
        <v>19750676.449999999</v>
      </c>
      <c r="AM32" s="37">
        <f>SUM($I32:N32)-SUM($W32:X32)</f>
        <v>19750676.449999999</v>
      </c>
      <c r="AN32" s="37">
        <f>SUM($I32:Q32)-SUM($W32:Y32)</f>
        <v>19750676.449999999</v>
      </c>
      <c r="AO32" s="37">
        <f>SUM($I32:T32)-SUM($W32:Z32)</f>
        <v>19750676.449999999</v>
      </c>
      <c r="AP32" s="37"/>
      <c r="AQ32" s="37"/>
      <c r="AR32" s="37"/>
      <c r="AS32" s="41">
        <v>5156108.41</v>
      </c>
      <c r="AT32" s="41">
        <v>5216531.6500000004</v>
      </c>
      <c r="AU32" s="41">
        <v>4962861.59</v>
      </c>
      <c r="AV32" s="41">
        <v>4973948</v>
      </c>
      <c r="AW32" s="41">
        <v>5290492.97</v>
      </c>
      <c r="AX32" s="41">
        <v>5473070.9800000004</v>
      </c>
      <c r="AY32" s="41">
        <v>6037230.71</v>
      </c>
      <c r="AZ32" s="41">
        <v>6801115.1600000001</v>
      </c>
      <c r="BA32" s="41">
        <v>6847821.0199999996</v>
      </c>
      <c r="BB32" s="41">
        <v>6851470.6699999999</v>
      </c>
      <c r="BC32" s="41">
        <v>6830850.1500000004</v>
      </c>
      <c r="BD32" s="41">
        <v>6881519.6600000001</v>
      </c>
      <c r="BE32" s="42">
        <f t="shared" si="8"/>
        <v>71323020.969999999</v>
      </c>
      <c r="BF32" s="37"/>
      <c r="BG32" s="41">
        <v>0</v>
      </c>
      <c r="BH32" s="41">
        <v>0</v>
      </c>
      <c r="BI32" s="41">
        <v>0</v>
      </c>
      <c r="BJ32" s="41">
        <v>0</v>
      </c>
      <c r="BK32" s="42">
        <f t="shared" si="9"/>
        <v>0</v>
      </c>
      <c r="BL32" s="37"/>
      <c r="BM32" s="42">
        <f t="shared" si="10"/>
        <v>71323020.969999999</v>
      </c>
      <c r="BN32" s="37"/>
      <c r="BO32" s="37"/>
      <c r="BP32" s="37">
        <f t="shared" si="11"/>
        <v>15335501.65</v>
      </c>
      <c r="BQ32" s="37">
        <f t="shared" si="12"/>
        <v>15737511.949999997</v>
      </c>
      <c r="BR32" s="37">
        <f t="shared" si="13"/>
        <v>19686166.889999997</v>
      </c>
      <c r="BS32" s="37">
        <f t="shared" si="14"/>
        <v>20563840.480000004</v>
      </c>
      <c r="BT32" s="42">
        <f t="shared" si="15"/>
        <v>71323020.969999999</v>
      </c>
      <c r="BU32" s="37"/>
      <c r="BV32" s="37">
        <f>SUM($AS32:AU32)-SUM($BG32:BG32)</f>
        <v>15335501.65</v>
      </c>
      <c r="BW32" s="37">
        <f>SUM($AS32:AX32)-SUM($BG32:BH32)</f>
        <v>31073013.599999998</v>
      </c>
      <c r="BX32" s="37">
        <f>SUM($AS32:BA32)-SUM($BG32:BI32)</f>
        <v>50759180.489999995</v>
      </c>
      <c r="BY32" s="37">
        <f>SUM($AS32:BD32)-SUM($BG32:BJ32)</f>
        <v>71323020.969999999</v>
      </c>
    </row>
    <row r="33" spans="2:77" x14ac:dyDescent="0.25">
      <c r="B33" s="7" t="s">
        <v>8</v>
      </c>
      <c r="C33" t="s">
        <v>194</v>
      </c>
      <c r="D33" t="s">
        <v>195</v>
      </c>
      <c r="E33" t="s">
        <v>196</v>
      </c>
      <c r="F33" s="28" t="s">
        <v>323</v>
      </c>
      <c r="G33" s="28" t="s">
        <v>130</v>
      </c>
      <c r="H33" s="37"/>
      <c r="I33" s="41">
        <v>5092088.62</v>
      </c>
      <c r="J33" s="41">
        <v>8157180.3399999999</v>
      </c>
      <c r="K33" s="41">
        <v>7116053.0899999999</v>
      </c>
      <c r="L33" s="41"/>
      <c r="M33" s="41"/>
      <c r="N33" s="41"/>
      <c r="O33" s="41"/>
      <c r="P33" s="41"/>
      <c r="Q33" s="41"/>
      <c r="R33" s="41"/>
      <c r="S33" s="41"/>
      <c r="T33" s="41"/>
      <c r="U33" s="42">
        <f t="shared" si="0"/>
        <v>20365322.050000001</v>
      </c>
      <c r="V33" s="37"/>
      <c r="W33" s="41">
        <v>15227.259999999998</v>
      </c>
      <c r="X33" s="41"/>
      <c r="Y33" s="41"/>
      <c r="Z33" s="41"/>
      <c r="AA33" s="42">
        <f t="shared" si="1"/>
        <v>15227.259999999998</v>
      </c>
      <c r="AB33" s="37"/>
      <c r="AC33" s="42">
        <f t="shared" si="2"/>
        <v>20350094.789999999</v>
      </c>
      <c r="AD33" s="37"/>
      <c r="AE33" s="37"/>
      <c r="AF33" s="37">
        <f t="shared" si="3"/>
        <v>20350094.789999999</v>
      </c>
      <c r="AG33" s="37">
        <f t="shared" si="4"/>
        <v>0</v>
      </c>
      <c r="AH33" s="37">
        <f t="shared" si="5"/>
        <v>0</v>
      </c>
      <c r="AI33" s="37">
        <f t="shared" si="6"/>
        <v>0</v>
      </c>
      <c r="AJ33" s="42">
        <f t="shared" si="7"/>
        <v>20350094.789999999</v>
      </c>
      <c r="AK33" s="37"/>
      <c r="AL33" s="37">
        <f>SUM($I33:K33)-SUM($W33:W33)</f>
        <v>20350094.789999999</v>
      </c>
      <c r="AM33" s="37">
        <f>SUM($I33:N33)-SUM($W33:X33)</f>
        <v>20350094.789999999</v>
      </c>
      <c r="AN33" s="37">
        <f>SUM($I33:Q33)-SUM($W33:Y33)</f>
        <v>20350094.789999999</v>
      </c>
      <c r="AO33" s="37">
        <f>SUM($I33:T33)-SUM($W33:Z33)</f>
        <v>20350094.789999999</v>
      </c>
      <c r="AP33" s="37"/>
      <c r="AQ33" s="37"/>
      <c r="AR33" s="37"/>
      <c r="AS33" s="41">
        <v>5981142.79</v>
      </c>
      <c r="AT33" s="41">
        <v>5997911.9199999999</v>
      </c>
      <c r="AU33" s="41">
        <v>6172633.5</v>
      </c>
      <c r="AV33" s="41">
        <v>6124818.5</v>
      </c>
      <c r="AW33" s="41">
        <v>6297696.2000000002</v>
      </c>
      <c r="AX33" s="41">
        <v>6592898.2000000002</v>
      </c>
      <c r="AY33" s="41">
        <v>6537672.54</v>
      </c>
      <c r="AZ33" s="41">
        <v>6422291.8600000003</v>
      </c>
      <c r="BA33" s="41">
        <v>6830917.7800000003</v>
      </c>
      <c r="BB33" s="41">
        <v>7336457.04</v>
      </c>
      <c r="BC33" s="41">
        <v>6269156.0899999999</v>
      </c>
      <c r="BD33" s="41">
        <v>5417630.5800000038</v>
      </c>
      <c r="BE33" s="42">
        <f t="shared" si="8"/>
        <v>75981227</v>
      </c>
      <c r="BF33" s="37"/>
      <c r="BG33" s="41">
        <v>3480000</v>
      </c>
      <c r="BH33" s="41">
        <v>681289</v>
      </c>
      <c r="BI33" s="41">
        <v>891947</v>
      </c>
      <c r="BJ33" s="41">
        <v>1167472</v>
      </c>
      <c r="BK33" s="42">
        <f t="shared" si="9"/>
        <v>6220708</v>
      </c>
      <c r="BL33" s="37"/>
      <c r="BM33" s="42">
        <f t="shared" si="10"/>
        <v>69760519</v>
      </c>
      <c r="BN33" s="37"/>
      <c r="BO33" s="37"/>
      <c r="BP33" s="37">
        <f t="shared" si="11"/>
        <v>14671688.210000001</v>
      </c>
      <c r="BQ33" s="37">
        <f t="shared" si="12"/>
        <v>18334123.899999999</v>
      </c>
      <c r="BR33" s="37">
        <f t="shared" si="13"/>
        <v>18898935.18</v>
      </c>
      <c r="BS33" s="37">
        <f t="shared" si="14"/>
        <v>17855771.710000001</v>
      </c>
      <c r="BT33" s="42">
        <f t="shared" si="15"/>
        <v>69760519</v>
      </c>
      <c r="BU33" s="37"/>
      <c r="BV33" s="37">
        <f>SUM($AS33:AU33)-SUM($BG33:BG33)</f>
        <v>14671688.210000001</v>
      </c>
      <c r="BW33" s="37">
        <f>SUM($AS33:AX33)-SUM($BG33:BH33)</f>
        <v>33005812.109999999</v>
      </c>
      <c r="BX33" s="37">
        <f>SUM($AS33:BA33)-SUM($BG33:BI33)</f>
        <v>51904747.289999999</v>
      </c>
      <c r="BY33" s="37">
        <f>SUM($AS33:BD33)-SUM($BG33:BJ33)</f>
        <v>69760519</v>
      </c>
    </row>
    <row r="34" spans="2:77" x14ac:dyDescent="0.25">
      <c r="B34" s="7" t="s">
        <v>71</v>
      </c>
      <c r="C34" t="s">
        <v>197</v>
      </c>
      <c r="D34" t="s">
        <v>198</v>
      </c>
      <c r="E34" t="s">
        <v>199</v>
      </c>
      <c r="F34" s="28" t="s">
        <v>190</v>
      </c>
      <c r="G34" s="28" t="s">
        <v>130</v>
      </c>
      <c r="H34" s="37"/>
      <c r="I34" s="41">
        <v>798599.01</v>
      </c>
      <c r="J34" s="41">
        <v>812380.24</v>
      </c>
      <c r="K34" s="41">
        <v>796242.59</v>
      </c>
      <c r="L34" s="41"/>
      <c r="M34" s="41"/>
      <c r="N34" s="41"/>
      <c r="O34" s="41"/>
      <c r="P34" s="41"/>
      <c r="Q34" s="41"/>
      <c r="R34" s="41"/>
      <c r="S34" s="41"/>
      <c r="T34" s="41"/>
      <c r="U34" s="42">
        <f t="shared" si="0"/>
        <v>2407221.84</v>
      </c>
      <c r="V34" s="37"/>
      <c r="W34" s="41"/>
      <c r="X34" s="41"/>
      <c r="Y34" s="41"/>
      <c r="Z34" s="41"/>
      <c r="AA34" s="42">
        <f t="shared" si="1"/>
        <v>0</v>
      </c>
      <c r="AB34" s="37"/>
      <c r="AC34" s="42">
        <f t="shared" si="2"/>
        <v>2407221.84</v>
      </c>
      <c r="AD34" s="37"/>
      <c r="AE34" s="37"/>
      <c r="AF34" s="37">
        <f t="shared" si="3"/>
        <v>2407221.84</v>
      </c>
      <c r="AG34" s="37">
        <f t="shared" si="4"/>
        <v>0</v>
      </c>
      <c r="AH34" s="37">
        <f t="shared" si="5"/>
        <v>0</v>
      </c>
      <c r="AI34" s="37">
        <f t="shared" si="6"/>
        <v>0</v>
      </c>
      <c r="AJ34" s="42">
        <f t="shared" si="7"/>
        <v>2407221.84</v>
      </c>
      <c r="AK34" s="37"/>
      <c r="AL34" s="37">
        <f>SUM($I34:K34)-SUM($W34:W34)</f>
        <v>2407221.84</v>
      </c>
      <c r="AM34" s="37">
        <f>SUM($I34:N34)-SUM($W34:X34)</f>
        <v>2407221.84</v>
      </c>
      <c r="AN34" s="37">
        <f>SUM($I34:Q34)-SUM($W34:Y34)</f>
        <v>2407221.84</v>
      </c>
      <c r="AO34" s="37">
        <f>SUM($I34:T34)-SUM($W34:Z34)</f>
        <v>2407221.84</v>
      </c>
      <c r="AP34" s="37"/>
      <c r="AQ34" s="37"/>
      <c r="AR34" s="37"/>
      <c r="AS34" s="41">
        <v>653591.42000000004</v>
      </c>
      <c r="AT34" s="41">
        <v>647971.42000000004</v>
      </c>
      <c r="AU34" s="41">
        <v>718703.42</v>
      </c>
      <c r="AV34" s="41">
        <v>669109.42000000004</v>
      </c>
      <c r="AW34" s="41">
        <v>686334.32</v>
      </c>
      <c r="AX34" s="41">
        <v>697981.42</v>
      </c>
      <c r="AY34" s="41">
        <v>679503.42</v>
      </c>
      <c r="AZ34" s="41">
        <v>686911.42</v>
      </c>
      <c r="BA34" s="41">
        <v>656717.38</v>
      </c>
      <c r="BB34" s="41">
        <v>793175.01</v>
      </c>
      <c r="BC34" s="41">
        <v>693800.56</v>
      </c>
      <c r="BD34" s="41">
        <v>686419.67</v>
      </c>
      <c r="BE34" s="42">
        <f t="shared" si="8"/>
        <v>8270218.879999999</v>
      </c>
      <c r="BF34" s="37"/>
      <c r="BG34" s="41">
        <v>450000</v>
      </c>
      <c r="BH34" s="41">
        <v>249208</v>
      </c>
      <c r="BI34" s="41">
        <v>230072</v>
      </c>
      <c r="BJ34" s="41">
        <v>345329</v>
      </c>
      <c r="BK34" s="42">
        <f t="shared" si="9"/>
        <v>1274609</v>
      </c>
      <c r="BL34" s="37"/>
      <c r="BM34" s="42">
        <f t="shared" si="10"/>
        <v>6995609.879999999</v>
      </c>
      <c r="BN34" s="37"/>
      <c r="BO34" s="37"/>
      <c r="BP34" s="37">
        <f t="shared" si="11"/>
        <v>1570266.2600000002</v>
      </c>
      <c r="BQ34" s="37">
        <f t="shared" si="12"/>
        <v>1804217.1599999997</v>
      </c>
      <c r="BR34" s="37">
        <f t="shared" si="13"/>
        <v>1793060.2199999997</v>
      </c>
      <c r="BS34" s="37">
        <f t="shared" si="14"/>
        <v>1828066.2399999993</v>
      </c>
      <c r="BT34" s="42">
        <f t="shared" si="15"/>
        <v>6995609.879999999</v>
      </c>
      <c r="BU34" s="37"/>
      <c r="BV34" s="37">
        <f>SUM($AS34:AU34)-SUM($BG34:BG34)</f>
        <v>1570266.2600000002</v>
      </c>
      <c r="BW34" s="37">
        <f>SUM($AS34:AX34)-SUM($BG34:BH34)</f>
        <v>3374483.42</v>
      </c>
      <c r="BX34" s="37">
        <f>SUM($AS34:BA34)-SUM($BG34:BI34)</f>
        <v>5167543.6399999997</v>
      </c>
      <c r="BY34" s="37">
        <f>SUM($AS34:BD34)-SUM($BG34:BJ34)</f>
        <v>6995609.879999999</v>
      </c>
    </row>
    <row r="35" spans="2:77" x14ac:dyDescent="0.25">
      <c r="B35" s="7" t="s">
        <v>11</v>
      </c>
      <c r="C35" t="s">
        <v>200</v>
      </c>
      <c r="D35" t="s">
        <v>201</v>
      </c>
      <c r="E35" t="s">
        <v>202</v>
      </c>
      <c r="F35" s="28" t="s">
        <v>190</v>
      </c>
      <c r="G35" s="28" t="s">
        <v>130</v>
      </c>
      <c r="H35" s="37"/>
      <c r="I35" s="41">
        <v>8544971.3000000007</v>
      </c>
      <c r="J35" s="41">
        <v>9495568.4600000009</v>
      </c>
      <c r="K35" s="41">
        <v>9079406.3300000001</v>
      </c>
      <c r="L35" s="41"/>
      <c r="M35" s="41"/>
      <c r="N35" s="41"/>
      <c r="O35" s="41"/>
      <c r="P35" s="41"/>
      <c r="Q35" s="41"/>
      <c r="R35" s="41"/>
      <c r="S35" s="41"/>
      <c r="T35" s="41"/>
      <c r="U35" s="42">
        <f t="shared" si="0"/>
        <v>27119946.090000004</v>
      </c>
      <c r="V35" s="37"/>
      <c r="W35" s="41"/>
      <c r="X35" s="41"/>
      <c r="Y35" s="41"/>
      <c r="Z35" s="41"/>
      <c r="AA35" s="42">
        <f t="shared" si="1"/>
        <v>0</v>
      </c>
      <c r="AB35" s="37"/>
      <c r="AC35" s="42">
        <f t="shared" si="2"/>
        <v>27119946.090000004</v>
      </c>
      <c r="AD35" s="37"/>
      <c r="AE35" s="37"/>
      <c r="AF35" s="37">
        <f t="shared" si="3"/>
        <v>27119946.090000004</v>
      </c>
      <c r="AG35" s="37">
        <f t="shared" si="4"/>
        <v>0</v>
      </c>
      <c r="AH35" s="37">
        <f t="shared" si="5"/>
        <v>0</v>
      </c>
      <c r="AI35" s="37">
        <f t="shared" si="6"/>
        <v>0</v>
      </c>
      <c r="AJ35" s="42">
        <f t="shared" si="7"/>
        <v>27119946.090000004</v>
      </c>
      <c r="AK35" s="37"/>
      <c r="AL35" s="37">
        <f>SUM($I35:K35)-SUM($W35:W35)</f>
        <v>27119946.090000004</v>
      </c>
      <c r="AM35" s="37">
        <f>SUM($I35:N35)-SUM($W35:X35)</f>
        <v>27119946.090000004</v>
      </c>
      <c r="AN35" s="37">
        <f>SUM($I35:Q35)-SUM($W35:Y35)</f>
        <v>27119946.090000004</v>
      </c>
      <c r="AO35" s="37">
        <f>SUM($I35:T35)-SUM($W35:Z35)</f>
        <v>27119946.090000004</v>
      </c>
      <c r="AP35" s="37"/>
      <c r="AQ35" s="37"/>
      <c r="AR35" s="37"/>
      <c r="AS35" s="41">
        <v>7208703.7999999998</v>
      </c>
      <c r="AT35" s="41">
        <v>7153734.8099999996</v>
      </c>
      <c r="AU35" s="41">
        <v>7124780.8499999996</v>
      </c>
      <c r="AV35" s="41">
        <v>7366381.5</v>
      </c>
      <c r="AW35" s="41">
        <v>7405649.0300000003</v>
      </c>
      <c r="AX35" s="41">
        <v>7570819.2800000003</v>
      </c>
      <c r="AY35" s="41">
        <v>8082528.0599999996</v>
      </c>
      <c r="AZ35" s="41">
        <v>8470084.6300000008</v>
      </c>
      <c r="BA35" s="41">
        <v>8579766.0999999996</v>
      </c>
      <c r="BB35" s="41">
        <v>8642125.7599999998</v>
      </c>
      <c r="BC35" s="41">
        <v>9069578.75</v>
      </c>
      <c r="BD35" s="41">
        <v>8999887.9800000004</v>
      </c>
      <c r="BE35" s="42">
        <f t="shared" si="8"/>
        <v>95674040.550000012</v>
      </c>
      <c r="BF35" s="37"/>
      <c r="BG35" s="41">
        <v>0</v>
      </c>
      <c r="BH35" s="41">
        <v>0</v>
      </c>
      <c r="BI35" s="41">
        <v>0</v>
      </c>
      <c r="BJ35" s="41">
        <v>0</v>
      </c>
      <c r="BK35" s="42">
        <f t="shared" si="9"/>
        <v>0</v>
      </c>
      <c r="BL35" s="37"/>
      <c r="BM35" s="42">
        <f t="shared" si="10"/>
        <v>95674040.550000012</v>
      </c>
      <c r="BN35" s="37"/>
      <c r="BO35" s="37"/>
      <c r="BP35" s="37">
        <f t="shared" si="11"/>
        <v>21487219.460000001</v>
      </c>
      <c r="BQ35" s="37">
        <f t="shared" si="12"/>
        <v>22342849.810000002</v>
      </c>
      <c r="BR35" s="37">
        <f t="shared" si="13"/>
        <v>25132378.789999999</v>
      </c>
      <c r="BS35" s="37">
        <f t="shared" si="14"/>
        <v>26711592.49000001</v>
      </c>
      <c r="BT35" s="42">
        <f t="shared" si="15"/>
        <v>95674040.550000012</v>
      </c>
      <c r="BU35" s="37"/>
      <c r="BV35" s="37">
        <f>SUM($AS35:AU35)-SUM($BG35:BG35)</f>
        <v>21487219.460000001</v>
      </c>
      <c r="BW35" s="37">
        <f>SUM($AS35:AX35)-SUM($BG35:BH35)</f>
        <v>43830069.270000003</v>
      </c>
      <c r="BX35" s="37">
        <f>SUM($AS35:BA35)-SUM($BG35:BI35)</f>
        <v>68962448.060000002</v>
      </c>
      <c r="BY35" s="37">
        <f>SUM($AS35:BD35)-SUM($BG35:BJ35)</f>
        <v>95674040.550000012</v>
      </c>
    </row>
    <row r="36" spans="2:77" x14ac:dyDescent="0.25">
      <c r="B36" s="7" t="s">
        <v>46</v>
      </c>
      <c r="C36" t="s">
        <v>203</v>
      </c>
      <c r="D36" t="s">
        <v>204</v>
      </c>
      <c r="E36" t="s">
        <v>205</v>
      </c>
      <c r="F36" s="28" t="s">
        <v>190</v>
      </c>
      <c r="G36" s="28" t="s">
        <v>130</v>
      </c>
      <c r="H36" s="37"/>
      <c r="I36" s="41">
        <v>2335670.59</v>
      </c>
      <c r="J36" s="41">
        <v>2411519.34</v>
      </c>
      <c r="K36" s="41">
        <v>3480556.46</v>
      </c>
      <c r="L36" s="41"/>
      <c r="M36" s="41"/>
      <c r="N36" s="41"/>
      <c r="O36" s="41"/>
      <c r="P36" s="41"/>
      <c r="Q36" s="41"/>
      <c r="R36" s="41"/>
      <c r="S36" s="41"/>
      <c r="T36" s="41"/>
      <c r="U36" s="42">
        <f t="shared" si="0"/>
        <v>8227746.3899999997</v>
      </c>
      <c r="V36" s="37"/>
      <c r="W36" s="41"/>
      <c r="X36" s="41"/>
      <c r="Y36" s="41"/>
      <c r="Z36" s="41"/>
      <c r="AA36" s="42">
        <f t="shared" si="1"/>
        <v>0</v>
      </c>
      <c r="AB36" s="37"/>
      <c r="AC36" s="42">
        <f t="shared" si="2"/>
        <v>8227746.3899999997</v>
      </c>
      <c r="AD36" s="37"/>
      <c r="AE36" s="37"/>
      <c r="AF36" s="37">
        <f t="shared" si="3"/>
        <v>8227746.3899999997</v>
      </c>
      <c r="AG36" s="37">
        <f t="shared" si="4"/>
        <v>0</v>
      </c>
      <c r="AH36" s="37">
        <f t="shared" si="5"/>
        <v>0</v>
      </c>
      <c r="AI36" s="37">
        <f t="shared" si="6"/>
        <v>0</v>
      </c>
      <c r="AJ36" s="42">
        <f t="shared" si="7"/>
        <v>8227746.3899999997</v>
      </c>
      <c r="AK36" s="37"/>
      <c r="AL36" s="37">
        <f>SUM($I36:K36)-SUM($W36:W36)</f>
        <v>8227746.3899999997</v>
      </c>
      <c r="AM36" s="37">
        <f>SUM($I36:N36)-SUM($W36:X36)</f>
        <v>8227746.3899999997</v>
      </c>
      <c r="AN36" s="37">
        <f>SUM($I36:Q36)-SUM($W36:Y36)</f>
        <v>8227746.3899999997</v>
      </c>
      <c r="AO36" s="37">
        <f>SUM($I36:T36)-SUM($W36:Z36)</f>
        <v>8227746.3899999997</v>
      </c>
      <c r="AP36" s="37"/>
      <c r="AQ36" s="37"/>
      <c r="AR36" s="37"/>
      <c r="AS36" s="41">
        <v>2110481.88</v>
      </c>
      <c r="AT36" s="41">
        <v>2206440.23</v>
      </c>
      <c r="AU36" s="41">
        <v>3189256.51</v>
      </c>
      <c r="AV36" s="41">
        <v>2337429.62</v>
      </c>
      <c r="AW36" s="41">
        <v>2359773.0299999998</v>
      </c>
      <c r="AX36" s="41">
        <v>2416645.7400000002</v>
      </c>
      <c r="AY36" s="41">
        <v>2399639.0499999998</v>
      </c>
      <c r="AZ36" s="41">
        <v>2435630.73</v>
      </c>
      <c r="BA36" s="41">
        <v>2272574.11</v>
      </c>
      <c r="BB36" s="41">
        <v>2212477.6800000002</v>
      </c>
      <c r="BC36" s="41">
        <v>2209466.1</v>
      </c>
      <c r="BD36" s="41">
        <v>2216171.9500000002</v>
      </c>
      <c r="BE36" s="42">
        <f t="shared" si="8"/>
        <v>28365986.629999999</v>
      </c>
      <c r="BF36" s="37"/>
      <c r="BG36" s="41">
        <v>0</v>
      </c>
      <c r="BH36" s="41">
        <v>0</v>
      </c>
      <c r="BI36" s="41">
        <v>0</v>
      </c>
      <c r="BJ36" s="41">
        <v>0</v>
      </c>
      <c r="BK36" s="42">
        <f t="shared" si="9"/>
        <v>0</v>
      </c>
      <c r="BL36" s="37"/>
      <c r="BM36" s="42">
        <f t="shared" si="10"/>
        <v>28365986.629999999</v>
      </c>
      <c r="BN36" s="37"/>
      <c r="BO36" s="37"/>
      <c r="BP36" s="37">
        <f t="shared" si="11"/>
        <v>7506178.6199999992</v>
      </c>
      <c r="BQ36" s="37">
        <f t="shared" si="12"/>
        <v>7113848.3899999987</v>
      </c>
      <c r="BR36" s="37">
        <f t="shared" si="13"/>
        <v>7107843.8900000006</v>
      </c>
      <c r="BS36" s="37">
        <f t="shared" si="14"/>
        <v>6638115.7300000004</v>
      </c>
      <c r="BT36" s="42">
        <f t="shared" si="15"/>
        <v>28365986.629999999</v>
      </c>
      <c r="BU36" s="37"/>
      <c r="BV36" s="37">
        <f>SUM($AS36:AU36)-SUM($BG36:BG36)</f>
        <v>7506178.6199999992</v>
      </c>
      <c r="BW36" s="37">
        <f>SUM($AS36:AX36)-SUM($BG36:BH36)</f>
        <v>14620027.009999998</v>
      </c>
      <c r="BX36" s="37">
        <f>SUM($AS36:BA36)-SUM($BG36:BI36)</f>
        <v>21727870.899999999</v>
      </c>
      <c r="BY36" s="37">
        <f>SUM($AS36:BD36)-SUM($BG36:BJ36)</f>
        <v>28365986.629999999</v>
      </c>
    </row>
    <row r="37" spans="2:77" x14ac:dyDescent="0.25">
      <c r="B37" s="7" t="s">
        <v>37</v>
      </c>
      <c r="C37" t="s">
        <v>206</v>
      </c>
      <c r="D37" t="s">
        <v>207</v>
      </c>
      <c r="E37" t="s">
        <v>208</v>
      </c>
      <c r="F37" s="28" t="s">
        <v>190</v>
      </c>
      <c r="G37" s="28" t="s">
        <v>130</v>
      </c>
      <c r="H37" s="37"/>
      <c r="I37" s="41">
        <v>4749044.93</v>
      </c>
      <c r="J37" s="41">
        <v>5112922.3899999997</v>
      </c>
      <c r="K37" s="41">
        <v>4789285.2</v>
      </c>
      <c r="L37" s="41"/>
      <c r="M37" s="41"/>
      <c r="N37" s="41"/>
      <c r="O37" s="41"/>
      <c r="P37" s="41"/>
      <c r="Q37" s="41"/>
      <c r="R37" s="41"/>
      <c r="S37" s="41"/>
      <c r="T37" s="41"/>
      <c r="U37" s="42">
        <f t="shared" si="0"/>
        <v>14651252.52</v>
      </c>
      <c r="V37" s="37"/>
      <c r="W37" s="41"/>
      <c r="X37" s="41"/>
      <c r="Y37" s="41"/>
      <c r="Z37" s="41"/>
      <c r="AA37" s="42">
        <f t="shared" si="1"/>
        <v>0</v>
      </c>
      <c r="AB37" s="37"/>
      <c r="AC37" s="42">
        <f t="shared" si="2"/>
        <v>14651252.52</v>
      </c>
      <c r="AD37" s="37"/>
      <c r="AE37" s="37"/>
      <c r="AF37" s="37">
        <f t="shared" si="3"/>
        <v>14651252.52</v>
      </c>
      <c r="AG37" s="37">
        <f t="shared" si="4"/>
        <v>0</v>
      </c>
      <c r="AH37" s="37">
        <f t="shared" si="5"/>
        <v>0</v>
      </c>
      <c r="AI37" s="37">
        <f t="shared" si="6"/>
        <v>0</v>
      </c>
      <c r="AJ37" s="42">
        <f t="shared" si="7"/>
        <v>14651252.52</v>
      </c>
      <c r="AK37" s="37"/>
      <c r="AL37" s="37">
        <f>SUM($I37:K37)-SUM($W37:W37)</f>
        <v>14651252.52</v>
      </c>
      <c r="AM37" s="37">
        <f>SUM($I37:N37)-SUM($W37:X37)</f>
        <v>14651252.52</v>
      </c>
      <c r="AN37" s="37">
        <f>SUM($I37:Q37)-SUM($W37:Y37)</f>
        <v>14651252.52</v>
      </c>
      <c r="AO37" s="37">
        <f>SUM($I37:T37)-SUM($W37:Z37)</f>
        <v>14651252.52</v>
      </c>
      <c r="AP37" s="37"/>
      <c r="AQ37" s="37"/>
      <c r="AR37" s="37"/>
      <c r="AS37" s="41">
        <v>3739285.04</v>
      </c>
      <c r="AT37" s="41">
        <v>3968563.09</v>
      </c>
      <c r="AU37" s="41">
        <v>3885616.27</v>
      </c>
      <c r="AV37" s="41">
        <v>3900634.69</v>
      </c>
      <c r="AW37" s="41">
        <v>3871599.66</v>
      </c>
      <c r="AX37" s="41">
        <v>3909993.5</v>
      </c>
      <c r="AY37" s="41">
        <v>4232658.46</v>
      </c>
      <c r="AZ37" s="41">
        <v>4618593.0999999996</v>
      </c>
      <c r="BA37" s="41">
        <v>4868938.58</v>
      </c>
      <c r="BB37" s="41">
        <v>4842425.46</v>
      </c>
      <c r="BC37" s="41">
        <v>4994436.8499999996</v>
      </c>
      <c r="BD37" s="41">
        <v>5109772.1500000004</v>
      </c>
      <c r="BE37" s="42">
        <f t="shared" si="8"/>
        <v>51942516.850000001</v>
      </c>
      <c r="BF37" s="37"/>
      <c r="BG37" s="41">
        <v>0</v>
      </c>
      <c r="BH37" s="41">
        <v>0</v>
      </c>
      <c r="BI37" s="41">
        <v>0</v>
      </c>
      <c r="BJ37" s="41">
        <v>0</v>
      </c>
      <c r="BK37" s="42">
        <f t="shared" si="9"/>
        <v>0</v>
      </c>
      <c r="BL37" s="37"/>
      <c r="BM37" s="42">
        <f t="shared" si="10"/>
        <v>51942516.850000001</v>
      </c>
      <c r="BN37" s="37"/>
      <c r="BO37" s="37"/>
      <c r="BP37" s="37">
        <f t="shared" si="11"/>
        <v>11593464.4</v>
      </c>
      <c r="BQ37" s="37">
        <f t="shared" si="12"/>
        <v>11682227.85</v>
      </c>
      <c r="BR37" s="37">
        <f t="shared" si="13"/>
        <v>13720190.140000001</v>
      </c>
      <c r="BS37" s="37">
        <f t="shared" si="14"/>
        <v>14946634.460000001</v>
      </c>
      <c r="BT37" s="42">
        <f t="shared" si="15"/>
        <v>51942516.850000001</v>
      </c>
      <c r="BU37" s="37"/>
      <c r="BV37" s="37">
        <f>SUM($AS37:AU37)-SUM($BG37:BG37)</f>
        <v>11593464.4</v>
      </c>
      <c r="BW37" s="37">
        <f>SUM($AS37:AX37)-SUM($BG37:BH37)</f>
        <v>23275692.25</v>
      </c>
      <c r="BX37" s="37">
        <f>SUM($AS37:BA37)-SUM($BG37:BI37)</f>
        <v>36995882.390000001</v>
      </c>
      <c r="BY37" s="37">
        <f>SUM($AS37:BD37)-SUM($BG37:BJ37)</f>
        <v>51942516.850000001</v>
      </c>
    </row>
    <row r="38" spans="2:77" x14ac:dyDescent="0.25">
      <c r="B38" s="7" t="s">
        <v>56</v>
      </c>
      <c r="C38" t="s">
        <v>209</v>
      </c>
      <c r="D38" t="s">
        <v>210</v>
      </c>
      <c r="E38" t="s">
        <v>211</v>
      </c>
      <c r="F38" s="28" t="s">
        <v>323</v>
      </c>
      <c r="G38" s="28" t="s">
        <v>130</v>
      </c>
      <c r="H38" s="37"/>
      <c r="I38" s="41">
        <v>1018031.87</v>
      </c>
      <c r="J38" s="41">
        <v>1063784.32</v>
      </c>
      <c r="K38" s="41">
        <v>1070658</v>
      </c>
      <c r="L38" s="41"/>
      <c r="M38" s="41"/>
      <c r="N38" s="41"/>
      <c r="O38" s="41"/>
      <c r="P38" s="41"/>
      <c r="Q38" s="41"/>
      <c r="R38" s="41"/>
      <c r="S38" s="41"/>
      <c r="T38" s="41"/>
      <c r="U38" s="42">
        <f t="shared" si="0"/>
        <v>3152474.19</v>
      </c>
      <c r="V38" s="37"/>
      <c r="W38" s="41"/>
      <c r="X38" s="41"/>
      <c r="Y38" s="41"/>
      <c r="Z38" s="41"/>
      <c r="AA38" s="42">
        <f t="shared" si="1"/>
        <v>0</v>
      </c>
      <c r="AB38" s="37"/>
      <c r="AC38" s="42">
        <f t="shared" si="2"/>
        <v>3152474.19</v>
      </c>
      <c r="AD38" s="37"/>
      <c r="AE38" s="37"/>
      <c r="AF38" s="37">
        <f t="shared" si="3"/>
        <v>3152474.19</v>
      </c>
      <c r="AG38" s="37">
        <f t="shared" si="4"/>
        <v>0</v>
      </c>
      <c r="AH38" s="37">
        <f t="shared" si="5"/>
        <v>0</v>
      </c>
      <c r="AI38" s="37">
        <f t="shared" si="6"/>
        <v>0</v>
      </c>
      <c r="AJ38" s="42">
        <f t="shared" si="7"/>
        <v>3152474.19</v>
      </c>
      <c r="AK38" s="37"/>
      <c r="AL38" s="37">
        <f>SUM($I38:K38)-SUM($W38:W38)</f>
        <v>3152474.19</v>
      </c>
      <c r="AM38" s="37">
        <f>SUM($I38:N38)-SUM($W38:X38)</f>
        <v>3152474.19</v>
      </c>
      <c r="AN38" s="37">
        <f>SUM($I38:Q38)-SUM($W38:Y38)</f>
        <v>3152474.19</v>
      </c>
      <c r="AO38" s="37">
        <f>SUM($I38:T38)-SUM($W38:Z38)</f>
        <v>3152474.19</v>
      </c>
      <c r="AP38" s="37"/>
      <c r="AQ38" s="37"/>
      <c r="AR38" s="37"/>
      <c r="AS38" s="41">
        <v>977463.23</v>
      </c>
      <c r="AT38" s="41">
        <v>778032.83</v>
      </c>
      <c r="AU38" s="41">
        <v>805407.42</v>
      </c>
      <c r="AV38" s="41">
        <v>720649.52</v>
      </c>
      <c r="AW38" s="41">
        <v>721757.63</v>
      </c>
      <c r="AX38" s="41">
        <v>693039.02</v>
      </c>
      <c r="AY38" s="41">
        <v>873209.43</v>
      </c>
      <c r="AZ38" s="41">
        <v>1067128.52</v>
      </c>
      <c r="BA38" s="41">
        <v>1115142.2</v>
      </c>
      <c r="BB38" s="41">
        <v>1103066.51</v>
      </c>
      <c r="BC38" s="41">
        <v>1179935.27</v>
      </c>
      <c r="BD38" s="41">
        <v>1173213.67</v>
      </c>
      <c r="BE38" s="42">
        <f t="shared" si="8"/>
        <v>11208045.25</v>
      </c>
      <c r="BF38" s="37"/>
      <c r="BG38" s="41">
        <v>0</v>
      </c>
      <c r="BH38" s="41">
        <v>0</v>
      </c>
      <c r="BI38" s="41">
        <v>0</v>
      </c>
      <c r="BJ38" s="41">
        <v>0</v>
      </c>
      <c r="BK38" s="42">
        <f t="shared" si="9"/>
        <v>0</v>
      </c>
      <c r="BL38" s="37"/>
      <c r="BM38" s="42">
        <f t="shared" si="10"/>
        <v>11208045.25</v>
      </c>
      <c r="BN38" s="37"/>
      <c r="BO38" s="37"/>
      <c r="BP38" s="37">
        <f t="shared" si="11"/>
        <v>2560903.48</v>
      </c>
      <c r="BQ38" s="37">
        <f t="shared" si="12"/>
        <v>2135446.1700000004</v>
      </c>
      <c r="BR38" s="37">
        <f t="shared" si="13"/>
        <v>3055480.1499999994</v>
      </c>
      <c r="BS38" s="37">
        <f t="shared" si="14"/>
        <v>3456215.45</v>
      </c>
      <c r="BT38" s="42">
        <f t="shared" si="15"/>
        <v>11208045.25</v>
      </c>
      <c r="BU38" s="37"/>
      <c r="BV38" s="37">
        <f>SUM($AS38:AU38)-SUM($BG38:BG38)</f>
        <v>2560903.48</v>
      </c>
      <c r="BW38" s="37">
        <f>SUM($AS38:AX38)-SUM($BG38:BH38)</f>
        <v>4696349.6500000004</v>
      </c>
      <c r="BX38" s="37">
        <f>SUM($AS38:BA38)-SUM($BG38:BI38)</f>
        <v>7751829.7999999998</v>
      </c>
      <c r="BY38" s="37">
        <f>SUM($AS38:BD38)-SUM($BG38:BJ38)</f>
        <v>11208045.25</v>
      </c>
    </row>
    <row r="39" spans="2:77" x14ac:dyDescent="0.25">
      <c r="B39" s="7" t="s">
        <v>61</v>
      </c>
      <c r="C39" t="s">
        <v>212</v>
      </c>
      <c r="D39" t="s">
        <v>213</v>
      </c>
      <c r="E39" t="s">
        <v>214</v>
      </c>
      <c r="F39" s="28" t="s">
        <v>190</v>
      </c>
      <c r="G39" s="28" t="s">
        <v>130</v>
      </c>
      <c r="H39" s="37"/>
      <c r="I39" s="41">
        <v>1384450.83</v>
      </c>
      <c r="J39" s="41">
        <v>1290035.79</v>
      </c>
      <c r="K39" s="41">
        <v>1539409.47</v>
      </c>
      <c r="L39" s="41"/>
      <c r="M39" s="41"/>
      <c r="N39" s="41"/>
      <c r="O39" s="41"/>
      <c r="P39" s="41"/>
      <c r="Q39" s="41"/>
      <c r="R39" s="41"/>
      <c r="S39" s="41"/>
      <c r="T39" s="41"/>
      <c r="U39" s="42">
        <f t="shared" si="0"/>
        <v>4213896.09</v>
      </c>
      <c r="V39" s="37"/>
      <c r="W39" s="41"/>
      <c r="X39" s="41"/>
      <c r="Y39" s="41"/>
      <c r="Z39" s="41"/>
      <c r="AA39" s="42">
        <f t="shared" si="1"/>
        <v>0</v>
      </c>
      <c r="AB39" s="37"/>
      <c r="AC39" s="42">
        <f t="shared" si="2"/>
        <v>4213896.09</v>
      </c>
      <c r="AD39" s="37"/>
      <c r="AE39" s="37"/>
      <c r="AF39" s="37">
        <f t="shared" si="3"/>
        <v>4213896.09</v>
      </c>
      <c r="AG39" s="37">
        <f t="shared" si="4"/>
        <v>0</v>
      </c>
      <c r="AH39" s="37">
        <f t="shared" si="5"/>
        <v>0</v>
      </c>
      <c r="AI39" s="37">
        <f t="shared" si="6"/>
        <v>0</v>
      </c>
      <c r="AJ39" s="42">
        <f t="shared" si="7"/>
        <v>4213896.09</v>
      </c>
      <c r="AK39" s="37"/>
      <c r="AL39" s="37">
        <f>SUM($I39:K39)-SUM($W39:W39)</f>
        <v>4213896.09</v>
      </c>
      <c r="AM39" s="37">
        <f>SUM($I39:N39)-SUM($W39:X39)</f>
        <v>4213896.09</v>
      </c>
      <c r="AN39" s="37">
        <f>SUM($I39:Q39)-SUM($W39:Y39)</f>
        <v>4213896.09</v>
      </c>
      <c r="AO39" s="37">
        <f>SUM($I39:T39)-SUM($W39:Z39)</f>
        <v>4213896.09</v>
      </c>
      <c r="AP39" s="37"/>
      <c r="AQ39" s="37"/>
      <c r="AR39" s="37"/>
      <c r="AS39" s="41">
        <v>1166968.8700000001</v>
      </c>
      <c r="AT39" s="41">
        <v>1394014.65</v>
      </c>
      <c r="AU39" s="41">
        <v>1071144.96</v>
      </c>
      <c r="AV39" s="41">
        <v>1123197.3400000001</v>
      </c>
      <c r="AW39" s="41">
        <v>1162155.08</v>
      </c>
      <c r="AX39" s="41">
        <v>1204228.1599999999</v>
      </c>
      <c r="AY39" s="41">
        <v>1212001.1599999999</v>
      </c>
      <c r="AZ39" s="41">
        <v>1205179.2</v>
      </c>
      <c r="BA39" s="41">
        <v>1220831.24</v>
      </c>
      <c r="BB39" s="41">
        <v>1201962.6399999999</v>
      </c>
      <c r="BC39" s="41">
        <v>1229014.6000000001</v>
      </c>
      <c r="BD39" s="41">
        <v>1229749.7</v>
      </c>
      <c r="BE39" s="42">
        <f t="shared" si="8"/>
        <v>14420447.6</v>
      </c>
      <c r="BF39" s="37"/>
      <c r="BG39" s="41">
        <v>0</v>
      </c>
      <c r="BH39" s="41">
        <v>0</v>
      </c>
      <c r="BI39" s="41">
        <v>0</v>
      </c>
      <c r="BJ39" s="41">
        <v>0</v>
      </c>
      <c r="BK39" s="42">
        <f t="shared" si="9"/>
        <v>0</v>
      </c>
      <c r="BL39" s="37"/>
      <c r="BM39" s="42">
        <f t="shared" si="10"/>
        <v>14420447.6</v>
      </c>
      <c r="BN39" s="37"/>
      <c r="BO39" s="37"/>
      <c r="BP39" s="37">
        <f t="shared" si="11"/>
        <v>3632128.48</v>
      </c>
      <c r="BQ39" s="37">
        <f t="shared" si="12"/>
        <v>3489580.5800000005</v>
      </c>
      <c r="BR39" s="37">
        <f t="shared" si="13"/>
        <v>3638011.5999999996</v>
      </c>
      <c r="BS39" s="37">
        <f t="shared" si="14"/>
        <v>3660726.9399999995</v>
      </c>
      <c r="BT39" s="42">
        <f t="shared" si="15"/>
        <v>14420447.6</v>
      </c>
      <c r="BU39" s="37"/>
      <c r="BV39" s="37">
        <f>SUM($AS39:AU39)-SUM($BG39:BG39)</f>
        <v>3632128.48</v>
      </c>
      <c r="BW39" s="37">
        <f>SUM($AS39:AX39)-SUM($BG39:BH39)</f>
        <v>7121709.0600000005</v>
      </c>
      <c r="BX39" s="37">
        <f>SUM($AS39:BA39)-SUM($BG39:BI39)</f>
        <v>10759720.66</v>
      </c>
      <c r="BY39" s="37">
        <f>SUM($AS39:BD39)-SUM($BG39:BJ39)</f>
        <v>14420447.6</v>
      </c>
    </row>
    <row r="40" spans="2:77" x14ac:dyDescent="0.25">
      <c r="B40" s="7" t="s">
        <v>83</v>
      </c>
      <c r="C40" t="s">
        <v>215</v>
      </c>
      <c r="D40" t="s">
        <v>216</v>
      </c>
      <c r="E40" t="s">
        <v>84</v>
      </c>
      <c r="F40" s="28" t="s">
        <v>322</v>
      </c>
      <c r="G40" s="28" t="s">
        <v>130</v>
      </c>
      <c r="H40" s="37"/>
      <c r="I40" s="41">
        <v>1804188.82</v>
      </c>
      <c r="J40" s="41">
        <v>1809394.03</v>
      </c>
      <c r="K40" s="41">
        <v>1804649.13</v>
      </c>
      <c r="L40" s="41"/>
      <c r="M40" s="41"/>
      <c r="N40" s="41"/>
      <c r="O40" s="41"/>
      <c r="P40" s="41"/>
      <c r="Q40" s="41"/>
      <c r="R40" s="41"/>
      <c r="S40" s="41"/>
      <c r="T40" s="41"/>
      <c r="U40" s="42">
        <f t="shared" si="0"/>
        <v>5418231.9800000004</v>
      </c>
      <c r="V40" s="37"/>
      <c r="W40" s="41"/>
      <c r="X40" s="41"/>
      <c r="Y40" s="41"/>
      <c r="Z40" s="41"/>
      <c r="AA40" s="42">
        <f t="shared" si="1"/>
        <v>0</v>
      </c>
      <c r="AB40" s="37"/>
      <c r="AC40" s="42">
        <f t="shared" si="2"/>
        <v>5418231.9800000004</v>
      </c>
      <c r="AD40" s="37"/>
      <c r="AE40" s="37"/>
      <c r="AF40" s="37">
        <f t="shared" si="3"/>
        <v>5418231.9800000004</v>
      </c>
      <c r="AG40" s="37">
        <f t="shared" si="4"/>
        <v>0</v>
      </c>
      <c r="AH40" s="37">
        <f t="shared" si="5"/>
        <v>0</v>
      </c>
      <c r="AI40" s="37">
        <f t="shared" si="6"/>
        <v>0</v>
      </c>
      <c r="AJ40" s="42">
        <f t="shared" si="7"/>
        <v>5418231.9800000004</v>
      </c>
      <c r="AK40" s="37"/>
      <c r="AL40" s="37">
        <f>SUM($I40:K40)-SUM($W40:W40)</f>
        <v>5418231.9800000004</v>
      </c>
      <c r="AM40" s="37">
        <f>SUM($I40:N40)-SUM($W40:X40)</f>
        <v>5418231.9800000004</v>
      </c>
      <c r="AN40" s="37">
        <f>SUM($I40:Q40)-SUM($W40:Y40)</f>
        <v>5418231.9800000004</v>
      </c>
      <c r="AO40" s="37">
        <f>SUM($I40:T40)-SUM($W40:Z40)</f>
        <v>5418231.9800000004</v>
      </c>
      <c r="AP40" s="37"/>
      <c r="AQ40" s="37"/>
      <c r="AR40" s="37"/>
      <c r="AS40" s="41">
        <v>1372407.61</v>
      </c>
      <c r="AT40" s="41">
        <v>1529498.31</v>
      </c>
      <c r="AU40" s="41">
        <v>1404538.15</v>
      </c>
      <c r="AV40" s="41">
        <v>1205962.1200000001</v>
      </c>
      <c r="AW40" s="41">
        <v>1558477.25</v>
      </c>
      <c r="AX40" s="41">
        <v>1562107.13</v>
      </c>
      <c r="AY40" s="41">
        <v>1571331.59</v>
      </c>
      <c r="AZ40" s="41">
        <v>1602034.23</v>
      </c>
      <c r="BA40" s="41">
        <v>1485572.07</v>
      </c>
      <c r="BB40" s="41">
        <v>1636222.3</v>
      </c>
      <c r="BC40" s="41">
        <v>1782264.38</v>
      </c>
      <c r="BD40" s="41">
        <v>1789352.87</v>
      </c>
      <c r="BE40" s="42">
        <f t="shared" si="8"/>
        <v>18499768.010000002</v>
      </c>
      <c r="BF40" s="37"/>
      <c r="BG40" s="41">
        <v>0</v>
      </c>
      <c r="BH40" s="41">
        <v>0</v>
      </c>
      <c r="BI40" s="41">
        <v>0</v>
      </c>
      <c r="BJ40" s="41">
        <v>0</v>
      </c>
      <c r="BK40" s="42">
        <f t="shared" si="9"/>
        <v>0</v>
      </c>
      <c r="BL40" s="37"/>
      <c r="BM40" s="42">
        <f t="shared" si="10"/>
        <v>18499768.010000002</v>
      </c>
      <c r="BN40" s="37"/>
      <c r="BO40" s="37"/>
      <c r="BP40" s="37">
        <f t="shared" si="11"/>
        <v>4306444.07</v>
      </c>
      <c r="BQ40" s="37">
        <f t="shared" si="12"/>
        <v>4326546.5</v>
      </c>
      <c r="BR40" s="37">
        <f t="shared" si="13"/>
        <v>4658937.8900000006</v>
      </c>
      <c r="BS40" s="37">
        <f t="shared" si="14"/>
        <v>5207839.5500000007</v>
      </c>
      <c r="BT40" s="42">
        <f t="shared" si="15"/>
        <v>18499768.010000002</v>
      </c>
      <c r="BU40" s="37"/>
      <c r="BV40" s="37">
        <f>SUM($AS40:AU40)-SUM($BG40:BG40)</f>
        <v>4306444.07</v>
      </c>
      <c r="BW40" s="37">
        <f>SUM($AS40:AX40)-SUM($BG40:BH40)</f>
        <v>8632990.5700000003</v>
      </c>
      <c r="BX40" s="37">
        <f>SUM($AS40:BA40)-SUM($BG40:BI40)</f>
        <v>13291928.460000001</v>
      </c>
      <c r="BY40" s="37">
        <f>SUM($AS40:BD40)-SUM($BG40:BJ40)</f>
        <v>18499768.010000002</v>
      </c>
    </row>
    <row r="41" spans="2:77" x14ac:dyDescent="0.25">
      <c r="B41" s="7" t="s">
        <v>85</v>
      </c>
      <c r="C41" t="s">
        <v>217</v>
      </c>
      <c r="D41" t="s">
        <v>218</v>
      </c>
      <c r="E41" t="s">
        <v>219</v>
      </c>
      <c r="F41" s="28" t="s">
        <v>322</v>
      </c>
      <c r="G41" s="28" t="s">
        <v>130</v>
      </c>
      <c r="H41" s="37"/>
      <c r="I41" s="41">
        <v>2422079.98</v>
      </c>
      <c r="J41" s="41">
        <v>2370625.7000000002</v>
      </c>
      <c r="K41" s="41">
        <v>2130838.46</v>
      </c>
      <c r="L41" s="41"/>
      <c r="M41" s="41"/>
      <c r="N41" s="41"/>
      <c r="O41" s="41"/>
      <c r="P41" s="41"/>
      <c r="Q41" s="41"/>
      <c r="R41" s="41"/>
      <c r="S41" s="41"/>
      <c r="T41" s="41"/>
      <c r="U41" s="42">
        <f t="shared" si="0"/>
        <v>6923544.1399999997</v>
      </c>
      <c r="V41" s="37"/>
      <c r="W41" s="41"/>
      <c r="X41" s="41"/>
      <c r="Y41" s="41"/>
      <c r="Z41" s="41"/>
      <c r="AA41" s="42">
        <f t="shared" si="1"/>
        <v>0</v>
      </c>
      <c r="AB41" s="37"/>
      <c r="AC41" s="42">
        <f t="shared" si="2"/>
        <v>6923544.1399999997</v>
      </c>
      <c r="AD41" s="37"/>
      <c r="AE41" s="37"/>
      <c r="AF41" s="37">
        <f t="shared" si="3"/>
        <v>6923544.1399999997</v>
      </c>
      <c r="AG41" s="37">
        <f t="shared" si="4"/>
        <v>0</v>
      </c>
      <c r="AH41" s="37">
        <f t="shared" si="5"/>
        <v>0</v>
      </c>
      <c r="AI41" s="37">
        <f t="shared" si="6"/>
        <v>0</v>
      </c>
      <c r="AJ41" s="42">
        <f t="shared" si="7"/>
        <v>6923544.1399999997</v>
      </c>
      <c r="AK41" s="37"/>
      <c r="AL41" s="37">
        <f>SUM($I41:K41)-SUM($W41:W41)</f>
        <v>6923544.1399999997</v>
      </c>
      <c r="AM41" s="37">
        <f>SUM($I41:N41)-SUM($W41:X41)</f>
        <v>6923544.1399999997</v>
      </c>
      <c r="AN41" s="37">
        <f>SUM($I41:Q41)-SUM($W41:Y41)</f>
        <v>6923544.1399999997</v>
      </c>
      <c r="AO41" s="37">
        <f>SUM($I41:T41)-SUM($W41:Z41)</f>
        <v>6923544.1399999997</v>
      </c>
      <c r="AP41" s="37"/>
      <c r="AQ41" s="37"/>
      <c r="AR41" s="37"/>
      <c r="AS41" s="41">
        <v>2306262.9500000002</v>
      </c>
      <c r="AT41" s="41">
        <v>2149844.5499999998</v>
      </c>
      <c r="AU41" s="41">
        <v>2007663.86</v>
      </c>
      <c r="AV41" s="41">
        <v>1851264.71</v>
      </c>
      <c r="AW41" s="41">
        <v>1703148.03</v>
      </c>
      <c r="AX41" s="41">
        <v>1940966.52</v>
      </c>
      <c r="AY41" s="41">
        <v>2132221.35</v>
      </c>
      <c r="AZ41" s="41">
        <v>3268282.12</v>
      </c>
      <c r="BA41" s="41">
        <v>1979099.6</v>
      </c>
      <c r="BB41" s="41">
        <v>1978261.73</v>
      </c>
      <c r="BC41" s="41">
        <v>1985378.82</v>
      </c>
      <c r="BD41" s="41">
        <v>2100714.09</v>
      </c>
      <c r="BE41" s="42">
        <f t="shared" si="8"/>
        <v>25403108.330000002</v>
      </c>
      <c r="BF41" s="37"/>
      <c r="BG41" s="41">
        <v>0</v>
      </c>
      <c r="BH41" s="41">
        <v>0</v>
      </c>
      <c r="BI41" s="41">
        <v>0</v>
      </c>
      <c r="BJ41" s="41">
        <v>0</v>
      </c>
      <c r="BK41" s="42">
        <f t="shared" si="9"/>
        <v>0</v>
      </c>
      <c r="BL41" s="37"/>
      <c r="BM41" s="42">
        <f t="shared" si="10"/>
        <v>25403108.330000002</v>
      </c>
      <c r="BN41" s="37"/>
      <c r="BO41" s="37"/>
      <c r="BP41" s="37">
        <f t="shared" si="11"/>
        <v>6463771.3600000003</v>
      </c>
      <c r="BQ41" s="37">
        <f t="shared" si="12"/>
        <v>5495379.2599999988</v>
      </c>
      <c r="BR41" s="37">
        <f t="shared" si="13"/>
        <v>7379603.0700000022</v>
      </c>
      <c r="BS41" s="37">
        <f t="shared" si="14"/>
        <v>6064354.6400000006</v>
      </c>
      <c r="BT41" s="42">
        <f t="shared" si="15"/>
        <v>25403108.330000002</v>
      </c>
      <c r="BU41" s="37"/>
      <c r="BV41" s="37">
        <f>SUM($AS41:AU41)-SUM($BG41:BG41)</f>
        <v>6463771.3600000003</v>
      </c>
      <c r="BW41" s="37">
        <f>SUM($AS41:AX41)-SUM($BG41:BH41)</f>
        <v>11959150.619999999</v>
      </c>
      <c r="BX41" s="37">
        <f>SUM($AS41:BA41)-SUM($BG41:BI41)</f>
        <v>19338753.690000001</v>
      </c>
      <c r="BY41" s="37">
        <f>SUM($AS41:BD41)-SUM($BG41:BJ41)</f>
        <v>25403108.330000002</v>
      </c>
    </row>
    <row r="42" spans="2:77" x14ac:dyDescent="0.25">
      <c r="B42" s="7" t="s">
        <v>76</v>
      </c>
      <c r="C42" t="s">
        <v>220</v>
      </c>
      <c r="D42" t="s">
        <v>221</v>
      </c>
      <c r="E42" t="s">
        <v>222</v>
      </c>
      <c r="F42" s="28" t="s">
        <v>323</v>
      </c>
      <c r="H42" s="37"/>
      <c r="I42" s="41">
        <v>2503771.7400000002</v>
      </c>
      <c r="J42" s="41">
        <v>1778916.07</v>
      </c>
      <c r="K42" s="41">
        <v>1866208.69</v>
      </c>
      <c r="L42" s="41"/>
      <c r="M42" s="41"/>
      <c r="N42" s="41"/>
      <c r="O42" s="41"/>
      <c r="P42" s="41"/>
      <c r="Q42" s="41"/>
      <c r="R42" s="41"/>
      <c r="S42" s="41"/>
      <c r="T42" s="41"/>
      <c r="U42" s="42">
        <f>SUM(I42:T42)</f>
        <v>6148896.5</v>
      </c>
      <c r="V42" s="37"/>
      <c r="W42" s="41"/>
      <c r="X42" s="41"/>
      <c r="Y42" s="41"/>
      <c r="Z42" s="41"/>
      <c r="AA42" s="42">
        <f t="shared" si="1"/>
        <v>0</v>
      </c>
      <c r="AB42" s="37"/>
      <c r="AC42" s="42">
        <f t="shared" si="2"/>
        <v>6148896.5</v>
      </c>
      <c r="AD42" s="37"/>
      <c r="AE42" s="37"/>
      <c r="AF42" s="37">
        <f t="shared" si="3"/>
        <v>6148896.5</v>
      </c>
      <c r="AG42" s="37">
        <f t="shared" si="4"/>
        <v>0</v>
      </c>
      <c r="AH42" s="37">
        <f t="shared" si="5"/>
        <v>0</v>
      </c>
      <c r="AI42" s="37">
        <f t="shared" si="6"/>
        <v>0</v>
      </c>
      <c r="AJ42" s="42">
        <f t="shared" si="7"/>
        <v>6148896.5</v>
      </c>
      <c r="AK42" s="37"/>
      <c r="AL42" s="37">
        <f>SUM($I42:K42)-SUM($W42:W42)</f>
        <v>6148896.5</v>
      </c>
      <c r="AM42" s="37">
        <f>SUM($I42:N42)-SUM($W42:X42)</f>
        <v>6148896.5</v>
      </c>
      <c r="AN42" s="37">
        <f>SUM($I42:Q42)-SUM($W42:Y42)</f>
        <v>6148896.5</v>
      </c>
      <c r="AO42" s="37">
        <f>SUM($I42:T42)-SUM($W42:Z42)</f>
        <v>6148896.5</v>
      </c>
      <c r="AP42" s="37"/>
      <c r="AQ42" s="37"/>
      <c r="AR42" s="37"/>
      <c r="AS42" s="41">
        <v>2198971.2599999998</v>
      </c>
      <c r="AT42" s="41">
        <v>1453131.57</v>
      </c>
      <c r="AU42" s="41">
        <v>1732275.06</v>
      </c>
      <c r="AV42" s="41">
        <v>1674993.23</v>
      </c>
      <c r="AW42" s="41">
        <v>1678834.79</v>
      </c>
      <c r="AX42" s="41">
        <v>1812461.09</v>
      </c>
      <c r="AY42" s="41">
        <v>1786443.72</v>
      </c>
      <c r="AZ42" s="41">
        <v>1906292.35</v>
      </c>
      <c r="BA42" s="41">
        <v>1832304.08</v>
      </c>
      <c r="BB42" s="41">
        <v>1821884.76</v>
      </c>
      <c r="BC42" s="41">
        <v>1836095.27</v>
      </c>
      <c r="BD42" s="41">
        <v>1984929.38</v>
      </c>
      <c r="BE42" s="42">
        <f>SUM(AS42:BD42)</f>
        <v>21718616.559999999</v>
      </c>
      <c r="BF42" s="37"/>
      <c r="BG42" s="41">
        <v>0</v>
      </c>
      <c r="BH42" s="41">
        <v>0</v>
      </c>
      <c r="BI42" s="41">
        <v>0</v>
      </c>
      <c r="BJ42" s="41">
        <v>0</v>
      </c>
      <c r="BK42" s="42">
        <f t="shared" si="9"/>
        <v>0</v>
      </c>
      <c r="BL42" s="37"/>
      <c r="BM42" s="42">
        <f t="shared" si="10"/>
        <v>21718616.559999999</v>
      </c>
      <c r="BN42" s="37"/>
      <c r="BO42" s="37"/>
      <c r="BP42" s="37">
        <f t="shared" si="11"/>
        <v>5384377.8900000006</v>
      </c>
      <c r="BQ42" s="37">
        <f t="shared" si="12"/>
        <v>5166289.1099999994</v>
      </c>
      <c r="BR42" s="37">
        <f t="shared" si="13"/>
        <v>5525040.1500000004</v>
      </c>
      <c r="BS42" s="37">
        <f t="shared" si="14"/>
        <v>5642909.4099999983</v>
      </c>
      <c r="BT42" s="42">
        <f t="shared" si="15"/>
        <v>21718616.559999999</v>
      </c>
      <c r="BU42" s="37"/>
      <c r="BV42" s="37">
        <f>SUM($AS42:AU42)-SUM($BG42:BG42)</f>
        <v>5384377.8900000006</v>
      </c>
      <c r="BW42" s="37">
        <f>SUM($AS42:AX42)-SUM($BG42:BH42)</f>
        <v>10550667</v>
      </c>
      <c r="BX42" s="37">
        <f>SUM($AS42:BA42)-SUM($BG42:BI42)</f>
        <v>16075707.15</v>
      </c>
      <c r="BY42" s="37">
        <f>SUM($AS42:BD42)-SUM($BG42:BJ42)</f>
        <v>21718616.559999999</v>
      </c>
    </row>
    <row r="43" spans="2:77" x14ac:dyDescent="0.25">
      <c r="B43" s="7" t="s">
        <v>98</v>
      </c>
      <c r="C43" t="s">
        <v>252</v>
      </c>
      <c r="D43" t="s">
        <v>244</v>
      </c>
      <c r="E43" t="s">
        <v>245</v>
      </c>
      <c r="F43" s="28" t="s">
        <v>243</v>
      </c>
      <c r="G43" s="28" t="s">
        <v>130</v>
      </c>
      <c r="H43" s="37"/>
      <c r="I43" s="41">
        <v>3146550.06</v>
      </c>
      <c r="J43" s="41">
        <v>2967529.28</v>
      </c>
      <c r="K43" s="41">
        <v>2820130.4399999995</v>
      </c>
      <c r="L43" s="41"/>
      <c r="M43" s="41"/>
      <c r="N43" s="41"/>
      <c r="O43" s="41"/>
      <c r="P43" s="41"/>
      <c r="Q43" s="41"/>
      <c r="R43" s="41"/>
      <c r="S43" s="41"/>
      <c r="T43" s="41"/>
      <c r="U43" s="42">
        <f t="shared" ref="U43:U45" si="16">SUM(I43:T43)</f>
        <v>8934209.7799999993</v>
      </c>
      <c r="V43" s="37"/>
      <c r="W43" s="41"/>
      <c r="X43" s="41"/>
      <c r="Y43" s="41"/>
      <c r="Z43" s="41"/>
      <c r="AA43" s="42">
        <f t="shared" ref="AA43:AA44" si="17">SUM(W43:Z43)</f>
        <v>0</v>
      </c>
      <c r="AB43" s="37"/>
      <c r="AC43" s="42">
        <f t="shared" ref="AC43:AC44" si="18">U43-AA43</f>
        <v>8934209.7799999993</v>
      </c>
      <c r="AD43" s="37"/>
      <c r="AE43" s="37"/>
      <c r="AF43" s="37">
        <f t="shared" ref="AF43:AF44" si="19">AL43</f>
        <v>8934209.7799999993</v>
      </c>
      <c r="AG43" s="37">
        <f t="shared" ref="AG43:AG44" si="20">AM43-AL43</f>
        <v>0</v>
      </c>
      <c r="AH43" s="37">
        <f t="shared" ref="AH43:AH44" si="21">AN43-AM43</f>
        <v>0</v>
      </c>
      <c r="AI43" s="37">
        <f t="shared" ref="AI43:AI44" si="22">AO43-AN43</f>
        <v>0</v>
      </c>
      <c r="AJ43" s="42">
        <f t="shared" ref="AJ43:AJ44" si="23">SUM(AF43:AI43)</f>
        <v>8934209.7799999993</v>
      </c>
      <c r="AK43" s="37"/>
      <c r="AL43" s="37">
        <f>SUM($I43:K43)-SUM($W43:W43)</f>
        <v>8934209.7799999993</v>
      </c>
      <c r="AM43" s="37">
        <f>SUM($I43:N43)-SUM($W43:X43)</f>
        <v>8934209.7799999993</v>
      </c>
      <c r="AN43" s="37">
        <f>SUM($I43:Q43)-SUM($W43:Y43)</f>
        <v>8934209.7799999993</v>
      </c>
      <c r="AO43" s="37">
        <f>SUM($I43:T43)-SUM($W43:Z43)</f>
        <v>8934209.7799999993</v>
      </c>
      <c r="AP43" s="37"/>
      <c r="AQ43" s="37"/>
      <c r="AR43" s="37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2"/>
      <c r="BF43" s="37"/>
      <c r="BG43" s="41"/>
      <c r="BH43" s="41"/>
      <c r="BI43" s="41"/>
      <c r="BJ43" s="41"/>
      <c r="BK43" s="42"/>
      <c r="BL43" s="37"/>
      <c r="BM43" s="42"/>
      <c r="BN43" s="37"/>
      <c r="BO43" s="37"/>
      <c r="BP43" s="37"/>
      <c r="BQ43" s="37"/>
      <c r="BR43" s="37"/>
      <c r="BS43" s="37"/>
      <c r="BT43" s="42"/>
      <c r="BU43" s="37"/>
      <c r="BV43" s="37"/>
      <c r="BW43" s="37"/>
      <c r="BX43" s="37"/>
      <c r="BY43" s="37"/>
    </row>
    <row r="44" spans="2:77" x14ac:dyDescent="0.25">
      <c r="B44" s="7" t="s">
        <v>101</v>
      </c>
      <c r="C44" t="s">
        <v>251</v>
      </c>
      <c r="D44" t="s">
        <v>241</v>
      </c>
      <c r="E44" t="s">
        <v>242</v>
      </c>
      <c r="F44" s="28" t="s">
        <v>243</v>
      </c>
      <c r="G44" s="28" t="s">
        <v>130</v>
      </c>
      <c r="H44" s="37"/>
      <c r="I44" s="41">
        <v>1014128.68</v>
      </c>
      <c r="J44" s="41">
        <v>960957.34000000008</v>
      </c>
      <c r="K44" s="41">
        <v>963782.9</v>
      </c>
      <c r="L44" s="41"/>
      <c r="M44" s="41"/>
      <c r="N44" s="41"/>
      <c r="O44" s="41"/>
      <c r="P44" s="41"/>
      <c r="Q44" s="41"/>
      <c r="R44" s="41"/>
      <c r="S44" s="41"/>
      <c r="T44" s="41"/>
      <c r="U44" s="42">
        <f t="shared" si="16"/>
        <v>2938868.92</v>
      </c>
      <c r="V44" s="37"/>
      <c r="W44" s="41"/>
      <c r="X44" s="41"/>
      <c r="Y44" s="41"/>
      <c r="Z44" s="41"/>
      <c r="AA44" s="42">
        <f t="shared" si="17"/>
        <v>0</v>
      </c>
      <c r="AB44" s="37"/>
      <c r="AC44" s="42">
        <f t="shared" si="18"/>
        <v>2938868.92</v>
      </c>
      <c r="AD44" s="37"/>
      <c r="AE44" s="37"/>
      <c r="AF44" s="37">
        <f t="shared" si="19"/>
        <v>2938868.92</v>
      </c>
      <c r="AG44" s="37">
        <f t="shared" si="20"/>
        <v>0</v>
      </c>
      <c r="AH44" s="37">
        <f t="shared" si="21"/>
        <v>0</v>
      </c>
      <c r="AI44" s="37">
        <f t="shared" si="22"/>
        <v>0</v>
      </c>
      <c r="AJ44" s="42">
        <f t="shared" si="23"/>
        <v>2938868.92</v>
      </c>
      <c r="AK44" s="37"/>
      <c r="AL44" s="37">
        <f>SUM($I44:K44)-SUM($W44:W44)</f>
        <v>2938868.92</v>
      </c>
      <c r="AM44" s="37">
        <f>SUM($I44:N44)-SUM($W44:X44)</f>
        <v>2938868.92</v>
      </c>
      <c r="AN44" s="37">
        <f>SUM($I44:Q44)-SUM($W44:Y44)</f>
        <v>2938868.92</v>
      </c>
      <c r="AO44" s="37">
        <f>SUM($I44:T44)-SUM($W44:Z44)</f>
        <v>2938868.92</v>
      </c>
      <c r="AP44" s="37"/>
      <c r="AQ44" s="37"/>
      <c r="AR44" s="37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2"/>
      <c r="BF44" s="37"/>
      <c r="BG44" s="41"/>
      <c r="BH44" s="41"/>
      <c r="BI44" s="41"/>
      <c r="BJ44" s="41"/>
      <c r="BK44" s="42"/>
      <c r="BL44" s="37"/>
      <c r="BM44" s="42"/>
      <c r="BN44" s="37"/>
      <c r="BO44" s="37"/>
      <c r="BP44" s="37"/>
      <c r="BQ44" s="37"/>
      <c r="BR44" s="37"/>
      <c r="BS44" s="37"/>
      <c r="BT44" s="42"/>
      <c r="BU44" s="37"/>
      <c r="BV44" s="37"/>
      <c r="BW44" s="37"/>
      <c r="BX44" s="37"/>
      <c r="BY44" s="37"/>
    </row>
    <row r="45" spans="2:77" x14ac:dyDescent="0.25">
      <c r="B45" s="20" t="s">
        <v>92</v>
      </c>
      <c r="C45" t="s">
        <v>223</v>
      </c>
      <c r="D45" t="s">
        <v>224</v>
      </c>
      <c r="E45" t="s">
        <v>225</v>
      </c>
      <c r="H45" s="37"/>
      <c r="I45" s="37">
        <v>0</v>
      </c>
      <c r="J45" s="37">
        <v>19156.259999999998</v>
      </c>
      <c r="K45" s="37">
        <v>61192.08</v>
      </c>
      <c r="L45" s="41"/>
      <c r="M45" s="41"/>
      <c r="N45" s="41"/>
      <c r="O45" s="37"/>
      <c r="P45" s="37"/>
      <c r="Q45" s="37"/>
      <c r="R45" s="41"/>
      <c r="S45" s="41"/>
      <c r="T45" s="41"/>
      <c r="U45" s="42">
        <f t="shared" si="16"/>
        <v>80348.34</v>
      </c>
      <c r="V45" s="37"/>
      <c r="W45" s="37"/>
      <c r="X45" s="41"/>
      <c r="Y45" s="41"/>
      <c r="Z45" s="41"/>
      <c r="AA45" s="42">
        <f t="shared" si="1"/>
        <v>0</v>
      </c>
      <c r="AB45" s="37"/>
      <c r="AC45" s="42">
        <f t="shared" si="2"/>
        <v>80348.34</v>
      </c>
      <c r="AD45" s="37"/>
      <c r="AE45" s="37"/>
      <c r="AF45" s="37">
        <f t="shared" si="3"/>
        <v>80348.34</v>
      </c>
      <c r="AG45" s="37">
        <f t="shared" si="4"/>
        <v>0</v>
      </c>
      <c r="AH45" s="37">
        <f t="shared" si="5"/>
        <v>0</v>
      </c>
      <c r="AI45" s="37">
        <f t="shared" si="6"/>
        <v>0</v>
      </c>
      <c r="AJ45" s="42">
        <f t="shared" si="7"/>
        <v>80348.34</v>
      </c>
      <c r="AK45" s="37"/>
      <c r="AL45" s="37">
        <f>SUM($I45:K45)-SUM($W45:W45)</f>
        <v>80348.34</v>
      </c>
      <c r="AM45" s="37">
        <f>SUM($I45:N45)-SUM($W45:X45)</f>
        <v>80348.34</v>
      </c>
      <c r="AN45" s="37">
        <f>SUM($I45:Q45)-SUM($W45:Y45)</f>
        <v>80348.34</v>
      </c>
      <c r="AO45" s="37">
        <f>SUM($I45:T45)-SUM($W45:Z45)</f>
        <v>80348.34</v>
      </c>
      <c r="AP45" s="37"/>
      <c r="AQ45" s="37"/>
      <c r="AR45" s="37"/>
      <c r="AS45" s="37">
        <v>3166799.61</v>
      </c>
      <c r="AT45" s="37">
        <v>3270874.3500000006</v>
      </c>
      <c r="AU45" s="37">
        <v>4324514.080000001</v>
      </c>
      <c r="AV45" s="37">
        <v>4093005.64</v>
      </c>
      <c r="AW45" s="37">
        <v>4757997</v>
      </c>
      <c r="AX45" s="37">
        <v>4987954.379999999</v>
      </c>
      <c r="AY45" s="37">
        <v>4393343.9000000004</v>
      </c>
      <c r="AZ45" s="37">
        <v>4357685.4700000007</v>
      </c>
      <c r="BA45" s="37">
        <v>3899923.7196168541</v>
      </c>
      <c r="BB45" s="41">
        <v>12800.0999999912</v>
      </c>
      <c r="BC45" s="41">
        <v>6018.52</v>
      </c>
      <c r="BD45" s="41">
        <v>3928.81</v>
      </c>
      <c r="BE45" s="42">
        <f>SUM(AS45:BD45)</f>
        <v>37274845.579616852</v>
      </c>
      <c r="BF45" s="37"/>
      <c r="BG45" s="37">
        <v>0</v>
      </c>
      <c r="BH45" s="41">
        <v>0</v>
      </c>
      <c r="BI45" s="41">
        <v>0</v>
      </c>
      <c r="BJ45" s="41">
        <v>0</v>
      </c>
      <c r="BK45" s="42">
        <f t="shared" si="9"/>
        <v>0</v>
      </c>
      <c r="BL45" s="37"/>
      <c r="BM45" s="42">
        <f t="shared" si="10"/>
        <v>37274845.579616852</v>
      </c>
      <c r="BN45" s="37"/>
      <c r="BO45" s="37"/>
      <c r="BP45" s="37">
        <f t="shared" si="11"/>
        <v>10762188.040000003</v>
      </c>
      <c r="BQ45" s="37">
        <f t="shared" si="12"/>
        <v>13838957.02</v>
      </c>
      <c r="BR45" s="37">
        <f t="shared" si="13"/>
        <v>12650953.08961685</v>
      </c>
      <c r="BS45" s="37">
        <f t="shared" si="14"/>
        <v>22747.429999999702</v>
      </c>
      <c r="BT45" s="42">
        <f t="shared" si="15"/>
        <v>37274845.579616852</v>
      </c>
      <c r="BU45" s="37"/>
      <c r="BV45" s="37">
        <f>SUM($AS45:AU45)-SUM($BG45:BG45)</f>
        <v>10762188.040000003</v>
      </c>
      <c r="BW45" s="37">
        <f>SUM($AS45:AX45)-SUM($BG45:BH45)</f>
        <v>24601145.060000002</v>
      </c>
      <c r="BX45" s="37">
        <f>SUM($AS45:BA45)-SUM($BG45:BI45)</f>
        <v>37252098.149616852</v>
      </c>
      <c r="BY45" s="37">
        <f>SUM($AS45:BD45)-SUM($BG45:BJ45)</f>
        <v>37274845.579616852</v>
      </c>
    </row>
    <row r="46" spans="2:77" ht="15.75" thickBot="1" x14ac:dyDescent="0.3">
      <c r="B46" s="35" t="s">
        <v>226</v>
      </c>
      <c r="C46" s="35"/>
      <c r="D46" s="35"/>
      <c r="E46" s="35"/>
      <c r="F46" s="35"/>
      <c r="G46" s="35"/>
      <c r="H46" s="37"/>
      <c r="I46" s="43">
        <f>SUM(I6:I45)</f>
        <v>131865168.51000001</v>
      </c>
      <c r="J46" s="43">
        <f t="shared" ref="J46:U46" si="24">SUM(J6:J45)</f>
        <v>125924668.22999999</v>
      </c>
      <c r="K46" s="43">
        <f t="shared" si="24"/>
        <v>123642130.58999999</v>
      </c>
      <c r="L46" s="43">
        <f t="shared" si="24"/>
        <v>0</v>
      </c>
      <c r="M46" s="43">
        <f>SUM(M6:M45)</f>
        <v>0</v>
      </c>
      <c r="N46" s="43">
        <f>SUM(N6:N45)</f>
        <v>0</v>
      </c>
      <c r="O46" s="43">
        <f t="shared" si="24"/>
        <v>0</v>
      </c>
      <c r="P46" s="43">
        <f t="shared" si="24"/>
        <v>0</v>
      </c>
      <c r="Q46" s="43">
        <f t="shared" si="24"/>
        <v>0</v>
      </c>
      <c r="R46" s="43">
        <f t="shared" si="24"/>
        <v>0</v>
      </c>
      <c r="S46" s="43">
        <f>SUM(S6:S45)</f>
        <v>0</v>
      </c>
      <c r="T46" s="43">
        <f>SUM(T6:T45)</f>
        <v>0</v>
      </c>
      <c r="U46" s="43">
        <f t="shared" si="24"/>
        <v>381431967.32999992</v>
      </c>
      <c r="V46" s="37"/>
      <c r="W46" s="43">
        <f>SUM(W6:W45)</f>
        <v>15227.259999999998</v>
      </c>
      <c r="X46" s="43">
        <f>SUM(X6:X45)</f>
        <v>0</v>
      </c>
      <c r="Y46" s="43">
        <f>SUM(Y6:Y45)</f>
        <v>0</v>
      </c>
      <c r="Z46" s="43">
        <f>SUM(Z6:Z45)</f>
        <v>0</v>
      </c>
      <c r="AA46" s="43">
        <f>SUM(AA6:AA45)</f>
        <v>15227.259999999998</v>
      </c>
      <c r="AB46" s="37"/>
      <c r="AC46" s="43">
        <f>SUM(AC6:AC45)</f>
        <v>381416740.06999993</v>
      </c>
      <c r="AD46" s="37"/>
      <c r="AE46" s="37"/>
      <c r="AF46" s="43">
        <f>SUM(AF6:AF45)</f>
        <v>381416740.06999993</v>
      </c>
      <c r="AG46" s="43">
        <f>SUM(AG6:AG45)</f>
        <v>0</v>
      </c>
      <c r="AH46" s="43">
        <f>SUM(AH6:AH45)</f>
        <v>0</v>
      </c>
      <c r="AI46" s="43">
        <f>SUM(AI6:AI45)</f>
        <v>0</v>
      </c>
      <c r="AJ46" s="43">
        <f t="shared" ref="AJ46:AO46" si="25">SUM(AJ6:AJ45)</f>
        <v>381416740.06999993</v>
      </c>
      <c r="AK46" s="37"/>
      <c r="AL46" s="43">
        <f t="shared" si="25"/>
        <v>381416740.06999993</v>
      </c>
      <c r="AM46" s="43">
        <f t="shared" si="25"/>
        <v>381416740.06999993</v>
      </c>
      <c r="AN46" s="43">
        <f t="shared" si="25"/>
        <v>381416740.06999993</v>
      </c>
      <c r="AO46" s="43">
        <f t="shared" si="25"/>
        <v>381416740.06999993</v>
      </c>
      <c r="AP46" s="37"/>
      <c r="AQ46" s="37"/>
      <c r="AR46" s="37"/>
      <c r="AS46" s="43">
        <f>SUM(AS6:AS45)</f>
        <v>115163071.5766667</v>
      </c>
      <c r="AT46" s="43">
        <f t="shared" ref="AT46:BE46" si="26">SUM(AT6:AT45)</f>
        <v>104050399.57666667</v>
      </c>
      <c r="AU46" s="43">
        <f t="shared" si="26"/>
        <v>106110309.95666668</v>
      </c>
      <c r="AV46" s="43">
        <f t="shared" si="26"/>
        <v>104593229.40666668</v>
      </c>
      <c r="AW46" s="43">
        <f t="shared" si="26"/>
        <v>107567192.69666666</v>
      </c>
      <c r="AX46" s="43">
        <f t="shared" si="26"/>
        <v>110076589.75666666</v>
      </c>
      <c r="AY46" s="43">
        <f t="shared" si="26"/>
        <v>113074567.09666665</v>
      </c>
      <c r="AZ46" s="43">
        <f t="shared" si="26"/>
        <v>120176397.17666665</v>
      </c>
      <c r="BA46" s="43">
        <f t="shared" si="26"/>
        <v>119479040.0762835</v>
      </c>
      <c r="BB46" s="43">
        <f t="shared" si="26"/>
        <v>117072116.5866667</v>
      </c>
      <c r="BC46" s="43">
        <f t="shared" si="26"/>
        <v>119582177.68666664</v>
      </c>
      <c r="BD46" s="43">
        <f t="shared" si="26"/>
        <v>120827020.19666669</v>
      </c>
      <c r="BE46" s="43">
        <f t="shared" si="26"/>
        <v>1357772111.7896166</v>
      </c>
      <c r="BF46" s="37"/>
      <c r="BG46" s="43">
        <f>SUM(BG6:BG45)</f>
        <v>6772724.3900000006</v>
      </c>
      <c r="BH46" s="43">
        <f>SUM(BH6:BH45)</f>
        <v>1798949.88</v>
      </c>
      <c r="BI46" s="43">
        <f>SUM(BI6:BI45)</f>
        <v>2308041</v>
      </c>
      <c r="BJ46" s="43">
        <f>SUM(BJ6:BJ45)</f>
        <v>2782023</v>
      </c>
      <c r="BK46" s="43">
        <f>SUM(BK6:BK45)</f>
        <v>13661738.27</v>
      </c>
      <c r="BL46" s="37"/>
      <c r="BM46" s="43">
        <f>SUM(BM6:BM45)</f>
        <v>1344110373.5196168</v>
      </c>
      <c r="BN46" s="37"/>
      <c r="BO46" s="37"/>
      <c r="BP46" s="43">
        <f>SUM(BP6:BP45)</f>
        <v>318551056.72000003</v>
      </c>
      <c r="BQ46" s="43">
        <f>SUM(BQ6:BQ45)</f>
        <v>320438061.97999996</v>
      </c>
      <c r="BR46" s="43">
        <f>SUM(BR6:BR45)</f>
        <v>350421963.34961677</v>
      </c>
      <c r="BS46" s="43">
        <f>SUM(BS6:BS45)</f>
        <v>354699291.47000009</v>
      </c>
      <c r="BT46" s="43">
        <f>SUM(BT6:BT45)</f>
        <v>1344110373.5196168</v>
      </c>
      <c r="BU46" s="37"/>
      <c r="BV46" s="43">
        <f>SUM(BV6:BV45)</f>
        <v>318551056.72000003</v>
      </c>
      <c r="BW46" s="43">
        <f>SUM(BW6:BW45)</f>
        <v>638989118.70000005</v>
      </c>
      <c r="BX46" s="43">
        <f>SUM(BX6:BX45)</f>
        <v>989411082.04961646</v>
      </c>
      <c r="BY46" s="43">
        <f>SUM(BY6:BY45)</f>
        <v>1344110373.5196168</v>
      </c>
    </row>
    <row r="47" spans="2:77" ht="15.75" thickTop="1" x14ac:dyDescent="0.25">
      <c r="H47" s="37"/>
      <c r="I47" s="37"/>
      <c r="J47" s="37"/>
      <c r="K47" s="37"/>
      <c r="L47" s="37"/>
      <c r="M47" s="37"/>
      <c r="N47" s="37"/>
      <c r="O47" s="37"/>
      <c r="P47" s="44"/>
      <c r="Q47" s="44"/>
      <c r="R47" s="44"/>
      <c r="S47" s="44"/>
      <c r="T47" s="44"/>
      <c r="U47" s="44"/>
      <c r="V47" s="37"/>
      <c r="W47" s="37"/>
      <c r="X47" s="37"/>
      <c r="Y47" s="37"/>
      <c r="Z47" s="37"/>
      <c r="AA47" s="37"/>
      <c r="AB47" s="37"/>
      <c r="AC47" s="44">
        <f>+AC46-AC45</f>
        <v>381336391.72999996</v>
      </c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44"/>
      <c r="BA47" s="44"/>
      <c r="BB47" s="44"/>
      <c r="BC47" s="44"/>
      <c r="BD47" s="44"/>
      <c r="BE47" s="44"/>
      <c r="BF47" s="37"/>
      <c r="BG47" s="37"/>
      <c r="BH47" s="37"/>
      <c r="BI47" s="37"/>
      <c r="BJ47" s="37"/>
      <c r="BK47" s="41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</row>
    <row r="48" spans="2:77" x14ac:dyDescent="0.25">
      <c r="H48" s="37"/>
      <c r="I48" s="37"/>
      <c r="J48" s="37"/>
      <c r="K48" s="37"/>
      <c r="L48" s="37"/>
      <c r="M48" s="37"/>
      <c r="N48" s="37"/>
      <c r="O48" s="37"/>
      <c r="P48" s="44"/>
      <c r="Q48" s="44"/>
      <c r="R48" s="44"/>
      <c r="S48" s="44"/>
      <c r="T48" s="44"/>
      <c r="U48" s="44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44"/>
      <c r="BA48" s="44"/>
      <c r="BB48" s="44"/>
      <c r="BC48" s="44"/>
      <c r="BD48" s="44"/>
      <c r="BE48" s="44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</row>
    <row r="49" spans="1:77" x14ac:dyDescent="0.25">
      <c r="B49" s="7" t="s">
        <v>95</v>
      </c>
      <c r="C49" t="s">
        <v>254</v>
      </c>
      <c r="D49" t="s">
        <v>249</v>
      </c>
      <c r="E49" t="s">
        <v>250</v>
      </c>
      <c r="F49" t="s">
        <v>129</v>
      </c>
      <c r="G49" t="s">
        <v>130</v>
      </c>
      <c r="H49" s="37"/>
      <c r="I49" s="41">
        <v>23698010.600000001</v>
      </c>
      <c r="J49" s="41">
        <v>21545817.539999999</v>
      </c>
      <c r="K49" s="41">
        <v>22260111.960000001</v>
      </c>
      <c r="L49" s="41"/>
      <c r="M49" s="41"/>
      <c r="N49" s="41"/>
      <c r="O49" s="41"/>
      <c r="P49" s="41"/>
      <c r="Q49" s="41"/>
      <c r="R49" s="41"/>
      <c r="S49" s="41"/>
      <c r="T49" s="41"/>
      <c r="U49" s="42">
        <f>SUM(I49:T49)</f>
        <v>67503940.099999994</v>
      </c>
      <c r="V49" s="37"/>
      <c r="W49" s="41"/>
      <c r="X49" s="41"/>
      <c r="Y49" s="41"/>
      <c r="Z49" s="41"/>
      <c r="AA49" s="42">
        <f>SUM(W49:Z49)</f>
        <v>0</v>
      </c>
      <c r="AB49" s="37"/>
      <c r="AC49" s="42">
        <f>U49-AA49</f>
        <v>67503940.099999994</v>
      </c>
      <c r="AD49" s="37"/>
      <c r="AE49" s="37"/>
      <c r="AF49" s="37">
        <f>AL49</f>
        <v>67503940.099999994</v>
      </c>
      <c r="AG49" s="37">
        <f t="shared" ref="AG49:AI51" si="27">AM49-AL49</f>
        <v>0</v>
      </c>
      <c r="AH49" s="37">
        <f t="shared" si="27"/>
        <v>0</v>
      </c>
      <c r="AI49" s="37">
        <f t="shared" si="27"/>
        <v>0</v>
      </c>
      <c r="AJ49" s="42">
        <f>SUM(AF49:AI49)</f>
        <v>67503940.099999994</v>
      </c>
      <c r="AK49" s="37"/>
      <c r="AL49" s="37">
        <f>SUM($I49:K49)-SUM($W49:W49)</f>
        <v>67503940.099999994</v>
      </c>
      <c r="AM49" s="37">
        <f>SUM($I49:N49)-SUM($W49:X49)</f>
        <v>67503940.099999994</v>
      </c>
      <c r="AN49" s="37">
        <f>SUM($I49:Q49)-SUM($W49:Y49)</f>
        <v>67503940.099999994</v>
      </c>
      <c r="AO49" s="37">
        <f>SUM($I49:T49)-SUM($W49:Z49)</f>
        <v>67503940.099999994</v>
      </c>
      <c r="AP49" s="37"/>
      <c r="AQ49" s="37"/>
      <c r="AR49" s="37"/>
      <c r="AS49" s="41">
        <v>19762634.719999999</v>
      </c>
      <c r="AT49" s="41">
        <v>18951487.289999999</v>
      </c>
      <c r="AU49" s="41">
        <v>20473871.539999999</v>
      </c>
      <c r="AV49" s="41">
        <v>19994586.309999999</v>
      </c>
      <c r="AW49" s="41">
        <v>20276695.239999998</v>
      </c>
      <c r="AX49" s="41">
        <v>20622536.379999999</v>
      </c>
      <c r="AY49" s="41">
        <v>18323179.09</v>
      </c>
      <c r="AZ49" s="41">
        <v>22179723.18</v>
      </c>
      <c r="BA49" s="41">
        <v>22300198.219999999</v>
      </c>
      <c r="BB49" s="41">
        <v>22159956.030000001</v>
      </c>
      <c r="BC49" s="41">
        <v>22524072.949999999</v>
      </c>
      <c r="BD49" s="41">
        <v>24030381.949999999</v>
      </c>
      <c r="BE49" s="42">
        <f>SUM(AS49:BD49)</f>
        <v>251599322.89999998</v>
      </c>
      <c r="BF49" s="37"/>
      <c r="BG49" s="41">
        <v>12302975.190000001</v>
      </c>
      <c r="BH49" s="41">
        <v>3380725.56</v>
      </c>
      <c r="BI49" s="41">
        <v>6206952</v>
      </c>
      <c r="BJ49" s="41">
        <v>6769441</v>
      </c>
      <c r="BK49" s="42">
        <f>SUM(BG49:BJ49)</f>
        <v>28660093.75</v>
      </c>
      <c r="BL49" s="37"/>
      <c r="BM49" s="42">
        <f>BE49-BK49</f>
        <v>222939229.14999998</v>
      </c>
      <c r="BN49" s="37"/>
      <c r="BO49" s="37"/>
      <c r="BP49" s="37">
        <f>BV49</f>
        <v>46885018.359999999</v>
      </c>
      <c r="BQ49" s="37">
        <f t="shared" ref="BQ49:BS51" si="28">BW49-BV49</f>
        <v>57513092.36999999</v>
      </c>
      <c r="BR49" s="37">
        <f t="shared" si="28"/>
        <v>56596148.49000001</v>
      </c>
      <c r="BS49" s="37">
        <f t="shared" si="28"/>
        <v>61944969.929999977</v>
      </c>
      <c r="BT49" s="42">
        <f>SUM(BP49:BS49)</f>
        <v>222939229.14999998</v>
      </c>
      <c r="BU49" s="37"/>
      <c r="BV49" s="37">
        <f>SUM($AS49:AU49)-SUM($BG49:BG49)</f>
        <v>46885018.359999999</v>
      </c>
      <c r="BW49" s="37">
        <f>SUM($AS49:AX49)-SUM($BG49:BH49)</f>
        <v>104398110.72999999</v>
      </c>
      <c r="BX49" s="37">
        <f>SUM($AS49:BA49)-SUM($BG49:BI49)</f>
        <v>160994259.22</v>
      </c>
      <c r="BY49" s="37">
        <f>SUM($AS49:BD49)-SUM($BG49:BJ49)</f>
        <v>222939229.14999998</v>
      </c>
    </row>
    <row r="50" spans="1:77" x14ac:dyDescent="0.25">
      <c r="B50" s="7"/>
      <c r="H50" s="37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>
        <f>SUM(I50:T50)</f>
        <v>0</v>
      </c>
      <c r="V50" s="37"/>
      <c r="W50" s="41"/>
      <c r="X50" s="41"/>
      <c r="Y50" s="41"/>
      <c r="Z50" s="41"/>
      <c r="AA50" s="42">
        <f>SUM(W50:Z50)</f>
        <v>0</v>
      </c>
      <c r="AB50" s="37"/>
      <c r="AC50" s="42">
        <f>U50-AA50</f>
        <v>0</v>
      </c>
      <c r="AD50" s="37"/>
      <c r="AE50" s="37"/>
      <c r="AF50" s="37">
        <f>AL50</f>
        <v>0</v>
      </c>
      <c r="AG50" s="37">
        <f t="shared" si="27"/>
        <v>0</v>
      </c>
      <c r="AH50" s="37">
        <f t="shared" si="27"/>
        <v>0</v>
      </c>
      <c r="AI50" s="37">
        <f t="shared" si="27"/>
        <v>0</v>
      </c>
      <c r="AJ50" s="42">
        <f>SUM(AF50:AI50)</f>
        <v>0</v>
      </c>
      <c r="AK50" s="37"/>
      <c r="AL50" s="37">
        <f>SUM($I50:K50)-SUM($W50:W50)</f>
        <v>0</v>
      </c>
      <c r="AM50" s="37">
        <f>SUM($I50:N50)-SUM($W50:X50)</f>
        <v>0</v>
      </c>
      <c r="AN50" s="37">
        <f>SUM($I50:Q50)-SUM($W50:Y50)</f>
        <v>0</v>
      </c>
      <c r="AO50" s="37">
        <f>SUM($I50:T50)-SUM($W50:Z50)</f>
        <v>0</v>
      </c>
      <c r="AP50" s="37"/>
      <c r="AQ50" s="37"/>
      <c r="AR50" s="37"/>
      <c r="AS50" s="41">
        <v>3073034.1399999992</v>
      </c>
      <c r="AT50" s="41">
        <v>2304258.5599999996</v>
      </c>
      <c r="AU50" s="41">
        <v>2592817.7199999997</v>
      </c>
      <c r="AV50" s="41">
        <v>2922636.07</v>
      </c>
      <c r="AW50" s="44">
        <v>2656857.35</v>
      </c>
      <c r="AX50" s="41">
        <v>2804311.57</v>
      </c>
      <c r="AY50" s="41">
        <v>2736641.66</v>
      </c>
      <c r="AZ50" s="41">
        <v>2784634.13</v>
      </c>
      <c r="BA50" s="41">
        <v>2842388.42</v>
      </c>
      <c r="BB50" s="41">
        <v>2832621.16</v>
      </c>
      <c r="BC50" s="41">
        <v>2861989.0999999996</v>
      </c>
      <c r="BD50" s="41">
        <v>3030077.0799999996</v>
      </c>
      <c r="BE50" s="42">
        <f>SUM(AS50:BD50)</f>
        <v>33442266.959999993</v>
      </c>
      <c r="BF50" s="37"/>
      <c r="BG50" s="41">
        <v>0</v>
      </c>
      <c r="BH50" s="41">
        <v>0</v>
      </c>
      <c r="BI50" s="41">
        <v>0</v>
      </c>
      <c r="BJ50" s="41">
        <v>0</v>
      </c>
      <c r="BK50" s="42">
        <f>SUM(BG50:BJ50)</f>
        <v>0</v>
      </c>
      <c r="BL50" s="37"/>
      <c r="BM50" s="42">
        <f>BE50-BK50</f>
        <v>33442266.959999993</v>
      </c>
      <c r="BN50" s="37"/>
      <c r="BO50" s="37"/>
      <c r="BP50" s="37">
        <f>BV50</f>
        <v>7970110.419999999</v>
      </c>
      <c r="BQ50" s="37">
        <f t="shared" si="28"/>
        <v>8383804.9899999993</v>
      </c>
      <c r="BR50" s="37">
        <f t="shared" si="28"/>
        <v>8363664.209999999</v>
      </c>
      <c r="BS50" s="37">
        <f t="shared" si="28"/>
        <v>8724687.3399999961</v>
      </c>
      <c r="BT50" s="42">
        <f>SUM(BP50:BS50)</f>
        <v>33442266.959999993</v>
      </c>
      <c r="BU50" s="37"/>
      <c r="BV50" s="37">
        <f>SUM($AS50:AU50)-SUM($BG50:BG50)</f>
        <v>7970110.419999999</v>
      </c>
      <c r="BW50" s="37">
        <f>SUM($AS50:AX50)-SUM($BG50:BH50)</f>
        <v>16353915.409999998</v>
      </c>
      <c r="BX50" s="37">
        <f>SUM($AS50:BA50)-SUM($BG50:BI50)</f>
        <v>24717579.619999997</v>
      </c>
      <c r="BY50" s="37">
        <f>SUM($AS50:BD50)-SUM($BG50:BJ50)</f>
        <v>33442266.959999993</v>
      </c>
    </row>
    <row r="51" spans="1:77" x14ac:dyDescent="0.25">
      <c r="B51" s="7"/>
      <c r="H51" s="37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>
        <f>SUM(I51:T51)</f>
        <v>0</v>
      </c>
      <c r="V51" s="37"/>
      <c r="W51" s="37"/>
      <c r="X51" s="41"/>
      <c r="Y51" s="41"/>
      <c r="Z51" s="41"/>
      <c r="AA51" s="42">
        <f>SUM(W51:Z51)</f>
        <v>0</v>
      </c>
      <c r="AB51" s="37"/>
      <c r="AC51" s="42">
        <f>U51-AA51</f>
        <v>0</v>
      </c>
      <c r="AD51" s="37"/>
      <c r="AE51" s="37"/>
      <c r="AF51" s="37">
        <f>AL51</f>
        <v>0</v>
      </c>
      <c r="AG51" s="37">
        <f t="shared" si="27"/>
        <v>0</v>
      </c>
      <c r="AH51" s="37">
        <f t="shared" si="27"/>
        <v>0</v>
      </c>
      <c r="AI51" s="37">
        <f t="shared" si="27"/>
        <v>0</v>
      </c>
      <c r="AJ51" s="42">
        <f>SUM(AF51:AI51)</f>
        <v>0</v>
      </c>
      <c r="AK51" s="37"/>
      <c r="AL51" s="37">
        <f>SUM($I51:K51)-SUM($W51:W51)</f>
        <v>0</v>
      </c>
      <c r="AM51" s="37">
        <f>SUM($I51:N51)-SUM($W51:X51)</f>
        <v>0</v>
      </c>
      <c r="AN51" s="37">
        <f>SUM($I51:Q51)-SUM($W51:Y51)</f>
        <v>0</v>
      </c>
      <c r="AO51" s="37">
        <f>SUM($I51:T51)-SUM($W51:Z51)</f>
        <v>0</v>
      </c>
      <c r="AP51" s="37"/>
      <c r="AQ51" s="37"/>
      <c r="AR51" s="37"/>
      <c r="AS51" s="41">
        <v>1033923.35</v>
      </c>
      <c r="AT51" s="41">
        <v>1010745.3324999999</v>
      </c>
      <c r="AU51" s="41">
        <v>1019253.71</v>
      </c>
      <c r="AV51" s="41">
        <v>1018757.86</v>
      </c>
      <c r="AW51" s="45">
        <v>1021166.73</v>
      </c>
      <c r="AX51" s="41">
        <v>1026113.29</v>
      </c>
      <c r="AY51" s="41">
        <v>1026335.1599999999</v>
      </c>
      <c r="AZ51" s="41">
        <v>1025837.9099999999</v>
      </c>
      <c r="BA51" s="41">
        <v>1025843.63</v>
      </c>
      <c r="BB51" s="41">
        <v>1023557.63</v>
      </c>
      <c r="BC51" s="41">
        <v>904834.1399999999</v>
      </c>
      <c r="BD51" s="41">
        <v>904751.83000000007</v>
      </c>
      <c r="BE51" s="42">
        <f>SUM(AS51:BD51)</f>
        <v>12041120.572500002</v>
      </c>
      <c r="BF51" s="37"/>
      <c r="BG51" s="37">
        <v>0</v>
      </c>
      <c r="BH51" s="41">
        <v>0</v>
      </c>
      <c r="BI51" s="41">
        <v>0</v>
      </c>
      <c r="BJ51" s="41">
        <v>0</v>
      </c>
      <c r="BK51" s="42">
        <f>SUM(BG51:BJ51)</f>
        <v>0</v>
      </c>
      <c r="BL51" s="37"/>
      <c r="BM51" s="42">
        <f>BE51-BK51</f>
        <v>12041120.572500002</v>
      </c>
      <c r="BN51" s="37"/>
      <c r="BO51" s="37"/>
      <c r="BP51" s="37">
        <f>BV51</f>
        <v>3063922.3925000001</v>
      </c>
      <c r="BQ51" s="37">
        <f t="shared" si="28"/>
        <v>3066037.88</v>
      </c>
      <c r="BR51" s="37">
        <f t="shared" si="28"/>
        <v>3078016.7</v>
      </c>
      <c r="BS51" s="37">
        <f t="shared" si="28"/>
        <v>2833143.6000000015</v>
      </c>
      <c r="BT51" s="42">
        <f>SUM(BP51:BS51)</f>
        <v>12041120.572500002</v>
      </c>
      <c r="BU51" s="37"/>
      <c r="BV51" s="37">
        <f>SUM($AS51:AU51)-SUM($BG51:BG51)</f>
        <v>3063922.3925000001</v>
      </c>
      <c r="BW51" s="37">
        <f>SUM($AS51:AX51)-SUM($BG51:BH51)</f>
        <v>6129960.2725</v>
      </c>
      <c r="BX51" s="37">
        <f>SUM($AS51:BA51)-SUM($BG51:BI51)</f>
        <v>9207976.9725000001</v>
      </c>
      <c r="BY51" s="37">
        <f>SUM($AS51:BD51)-SUM($BG51:BJ51)</f>
        <v>12041120.572500002</v>
      </c>
    </row>
    <row r="52" spans="1:77" ht="15.75" thickBot="1" x14ac:dyDescent="0.3">
      <c r="B52" s="35" t="s">
        <v>227</v>
      </c>
      <c r="C52" s="35"/>
      <c r="D52" s="35"/>
      <c r="E52" s="35"/>
      <c r="F52" s="35"/>
      <c r="G52" s="35"/>
      <c r="H52" s="37"/>
      <c r="I52" s="43">
        <f>SUM(I49:I51)</f>
        <v>23698010.600000001</v>
      </c>
      <c r="J52" s="43">
        <f t="shared" ref="J52:U52" si="29">SUM(J49:J51)</f>
        <v>21545817.539999999</v>
      </c>
      <c r="K52" s="43">
        <f t="shared" si="29"/>
        <v>22260111.960000001</v>
      </c>
      <c r="L52" s="43">
        <f t="shared" si="29"/>
        <v>0</v>
      </c>
      <c r="M52" s="43">
        <f>SUM(M49:M51)</f>
        <v>0</v>
      </c>
      <c r="N52" s="43">
        <f>SUM(N49:N51)</f>
        <v>0</v>
      </c>
      <c r="O52" s="43">
        <f t="shared" si="29"/>
        <v>0</v>
      </c>
      <c r="P52" s="43">
        <f t="shared" si="29"/>
        <v>0</v>
      </c>
      <c r="Q52" s="43">
        <f t="shared" si="29"/>
        <v>0</v>
      </c>
      <c r="R52" s="43">
        <f t="shared" si="29"/>
        <v>0</v>
      </c>
      <c r="S52" s="43">
        <f t="shared" si="29"/>
        <v>0</v>
      </c>
      <c r="T52" s="43">
        <f t="shared" si="29"/>
        <v>0</v>
      </c>
      <c r="U52" s="43">
        <f t="shared" si="29"/>
        <v>67503940.099999994</v>
      </c>
      <c r="V52" s="37"/>
      <c r="W52" s="43">
        <f>SUM(W49:W51)</f>
        <v>0</v>
      </c>
      <c r="X52" s="43">
        <f>SUM(X49:X51)</f>
        <v>0</v>
      </c>
      <c r="Y52" s="43">
        <f>SUM(Y49:Y51)</f>
        <v>0</v>
      </c>
      <c r="Z52" s="43">
        <f>SUM(Z49:Z51)</f>
        <v>0</v>
      </c>
      <c r="AA52" s="43">
        <f>SUM(AA49:AA51)</f>
        <v>0</v>
      </c>
      <c r="AB52" s="37"/>
      <c r="AC52" s="43">
        <f>SUM(AC49:AC51)</f>
        <v>67503940.099999994</v>
      </c>
      <c r="AD52" s="37"/>
      <c r="AE52" s="37"/>
      <c r="AF52" s="43">
        <f>SUM(AF49:AF51)</f>
        <v>67503940.099999994</v>
      </c>
      <c r="AG52" s="43">
        <f>SUM(AG49:AG51)</f>
        <v>0</v>
      </c>
      <c r="AH52" s="43">
        <f>SUM(AH49:AH51)</f>
        <v>0</v>
      </c>
      <c r="AI52" s="43">
        <f>SUM(AI49:AI51)</f>
        <v>0</v>
      </c>
      <c r="AJ52" s="43">
        <f>SUM(AJ49:AJ51)</f>
        <v>67503940.099999994</v>
      </c>
      <c r="AK52" s="37"/>
      <c r="AL52" s="43">
        <f>SUM(AL49:AL51)</f>
        <v>67503940.099999994</v>
      </c>
      <c r="AM52" s="43">
        <f>SUM(AM49:AM51)</f>
        <v>67503940.099999994</v>
      </c>
      <c r="AN52" s="43">
        <f>SUM(AN49:AN51)</f>
        <v>67503940.099999994</v>
      </c>
      <c r="AO52" s="43">
        <f>SUM(AO49:AO51)</f>
        <v>67503940.099999994</v>
      </c>
      <c r="AP52" s="37"/>
      <c r="AQ52" s="37"/>
      <c r="AR52" s="37"/>
      <c r="AS52" s="43">
        <f>SUM(AS49:AS51)</f>
        <v>23869592.210000001</v>
      </c>
      <c r="AT52" s="43">
        <f t="shared" ref="AT52:BE52" si="30">SUM(AT49:AT51)</f>
        <v>22266491.182499997</v>
      </c>
      <c r="AU52" s="43">
        <f t="shared" si="30"/>
        <v>24085942.969999999</v>
      </c>
      <c r="AV52" s="43">
        <f t="shared" si="30"/>
        <v>23935980.239999998</v>
      </c>
      <c r="AW52" s="43">
        <f t="shared" si="30"/>
        <v>23954719.32</v>
      </c>
      <c r="AX52" s="43">
        <f t="shared" si="30"/>
        <v>24452961.239999998</v>
      </c>
      <c r="AY52" s="43">
        <f t="shared" si="30"/>
        <v>22086155.91</v>
      </c>
      <c r="AZ52" s="43">
        <f t="shared" si="30"/>
        <v>25990195.219999999</v>
      </c>
      <c r="BA52" s="43">
        <f t="shared" si="30"/>
        <v>26168430.27</v>
      </c>
      <c r="BB52" s="43">
        <f t="shared" si="30"/>
        <v>26016134.82</v>
      </c>
      <c r="BC52" s="43">
        <f t="shared" si="30"/>
        <v>26290896.189999998</v>
      </c>
      <c r="BD52" s="43">
        <f t="shared" si="30"/>
        <v>27965210.859999999</v>
      </c>
      <c r="BE52" s="43">
        <f t="shared" si="30"/>
        <v>297082710.43249995</v>
      </c>
      <c r="BF52" s="37"/>
      <c r="BG52" s="43">
        <f>SUM(BG49:BG51)</f>
        <v>12302975.190000001</v>
      </c>
      <c r="BH52" s="43">
        <f>SUM(BH49:BH51)</f>
        <v>3380725.56</v>
      </c>
      <c r="BI52" s="43">
        <f>SUM(BI49:BI51)</f>
        <v>6206952</v>
      </c>
      <c r="BJ52" s="43">
        <f>SUM(BJ49:BJ51)</f>
        <v>6769441</v>
      </c>
      <c r="BK52" s="43">
        <f>SUM(BK49:BK51)</f>
        <v>28660093.75</v>
      </c>
      <c r="BL52" s="37"/>
      <c r="BM52" s="43">
        <f>SUM(BM49:BM51)</f>
        <v>268422616.68249995</v>
      </c>
      <c r="BN52" s="37"/>
      <c r="BO52" s="37"/>
      <c r="BP52" s="43">
        <f>SUM(BP49:BP51)</f>
        <v>57919051.172499999</v>
      </c>
      <c r="BQ52" s="43">
        <f>SUM(BQ49:BQ51)</f>
        <v>68962935.239999995</v>
      </c>
      <c r="BR52" s="43">
        <f>SUM(BR49:BR51)</f>
        <v>68037829.400000006</v>
      </c>
      <c r="BS52" s="43">
        <f>SUM(BS49:BS51)</f>
        <v>73502800.869999975</v>
      </c>
      <c r="BT52" s="43">
        <f>SUM(BT49:BT51)</f>
        <v>268422616.68249995</v>
      </c>
      <c r="BU52" s="37"/>
      <c r="BV52" s="43">
        <f>SUM(BV49:BV51)</f>
        <v>57919051.172499999</v>
      </c>
      <c r="BW52" s="43">
        <f>SUM(BW49:BW51)</f>
        <v>126881986.41249998</v>
      </c>
      <c r="BX52" s="43">
        <f>SUM(BX49:BX51)</f>
        <v>194919815.8125</v>
      </c>
      <c r="BY52" s="43">
        <f>SUM(BY49:BY51)</f>
        <v>268422616.68249995</v>
      </c>
    </row>
    <row r="53" spans="1:77" ht="15.75" thickTop="1" x14ac:dyDescent="0.25"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</row>
    <row r="54" spans="1:77" ht="15.75" thickBot="1" x14ac:dyDescent="0.3">
      <c r="B54" s="35" t="s">
        <v>228</v>
      </c>
      <c r="C54" s="35"/>
      <c r="D54" s="35"/>
      <c r="E54" s="35"/>
      <c r="F54" s="35"/>
      <c r="G54" s="35"/>
      <c r="H54" s="37"/>
      <c r="I54" s="43">
        <f>+I46+I52</f>
        <v>155563179.11000001</v>
      </c>
      <c r="J54" s="43">
        <f t="shared" ref="J54:AA54" si="31">+J46+J52</f>
        <v>147470485.76999998</v>
      </c>
      <c r="K54" s="43">
        <f t="shared" si="31"/>
        <v>145902242.54999998</v>
      </c>
      <c r="L54" s="43">
        <f t="shared" si="31"/>
        <v>0</v>
      </c>
      <c r="M54" s="43">
        <f t="shared" si="31"/>
        <v>0</v>
      </c>
      <c r="N54" s="43">
        <f t="shared" si="31"/>
        <v>0</v>
      </c>
      <c r="O54" s="43">
        <f t="shared" si="31"/>
        <v>0</v>
      </c>
      <c r="P54" s="43">
        <f t="shared" si="31"/>
        <v>0</v>
      </c>
      <c r="Q54" s="43">
        <f t="shared" si="31"/>
        <v>0</v>
      </c>
      <c r="R54" s="43">
        <f t="shared" si="31"/>
        <v>0</v>
      </c>
      <c r="S54" s="43">
        <f t="shared" si="31"/>
        <v>0</v>
      </c>
      <c r="T54" s="43">
        <f t="shared" si="31"/>
        <v>0</v>
      </c>
      <c r="U54" s="43">
        <f t="shared" si="31"/>
        <v>448935907.42999995</v>
      </c>
      <c r="V54" s="37"/>
      <c r="W54" s="43">
        <f t="shared" si="31"/>
        <v>15227.259999999998</v>
      </c>
      <c r="X54" s="43">
        <f t="shared" si="31"/>
        <v>0</v>
      </c>
      <c r="Y54" s="43">
        <f t="shared" si="31"/>
        <v>0</v>
      </c>
      <c r="Z54" s="43">
        <f t="shared" si="31"/>
        <v>0</v>
      </c>
      <c r="AA54" s="43">
        <f t="shared" si="31"/>
        <v>15227.259999999998</v>
      </c>
      <c r="AB54" s="37"/>
      <c r="AC54" s="43">
        <f>+AC46+AC52</f>
        <v>448920680.16999996</v>
      </c>
      <c r="AD54" s="37"/>
      <c r="AE54" s="37"/>
      <c r="AF54" s="43">
        <f t="shared" ref="AF54:AO54" si="32">+AF46+AF52</f>
        <v>448920680.16999996</v>
      </c>
      <c r="AG54" s="43">
        <f t="shared" si="32"/>
        <v>0</v>
      </c>
      <c r="AH54" s="43">
        <f t="shared" si="32"/>
        <v>0</v>
      </c>
      <c r="AI54" s="43">
        <f t="shared" si="32"/>
        <v>0</v>
      </c>
      <c r="AJ54" s="43">
        <f t="shared" si="32"/>
        <v>448920680.16999996</v>
      </c>
      <c r="AK54" s="37"/>
      <c r="AL54" s="43">
        <f t="shared" si="32"/>
        <v>448920680.16999996</v>
      </c>
      <c r="AM54" s="43">
        <f t="shared" si="32"/>
        <v>448920680.16999996</v>
      </c>
      <c r="AN54" s="43">
        <f t="shared" si="32"/>
        <v>448920680.16999996</v>
      </c>
      <c r="AO54" s="43">
        <f t="shared" si="32"/>
        <v>448920680.16999996</v>
      </c>
      <c r="AP54" s="37"/>
      <c r="AQ54" s="37"/>
      <c r="AR54" s="37"/>
      <c r="AS54" s="43">
        <f>+AS46+AS52</f>
        <v>139032663.78666669</v>
      </c>
      <c r="AT54" s="43">
        <f t="shared" ref="AT54:BE54" si="33">+AT46+AT52</f>
        <v>126316890.75916666</v>
      </c>
      <c r="AU54" s="43">
        <f t="shared" si="33"/>
        <v>130196252.92666668</v>
      </c>
      <c r="AV54" s="43">
        <f t="shared" si="33"/>
        <v>128529209.64666668</v>
      </c>
      <c r="AW54" s="43">
        <f t="shared" si="33"/>
        <v>131521912.01666665</v>
      </c>
      <c r="AX54" s="43">
        <f t="shared" si="33"/>
        <v>134529550.99666667</v>
      </c>
      <c r="AY54" s="43">
        <f t="shared" si="33"/>
        <v>135160723.00666666</v>
      </c>
      <c r="AZ54" s="43">
        <f t="shared" si="33"/>
        <v>146166592.39666665</v>
      </c>
      <c r="BA54" s="43">
        <f t="shared" si="33"/>
        <v>145647470.3462835</v>
      </c>
      <c r="BB54" s="43">
        <f t="shared" si="33"/>
        <v>143088251.4066667</v>
      </c>
      <c r="BC54" s="43">
        <f t="shared" si="33"/>
        <v>145873073.87666664</v>
      </c>
      <c r="BD54" s="43">
        <f t="shared" si="33"/>
        <v>148792231.05666667</v>
      </c>
      <c r="BE54" s="43">
        <f t="shared" si="33"/>
        <v>1654854822.2221165</v>
      </c>
      <c r="BF54" s="37"/>
      <c r="BG54" s="43">
        <f>+BG46+BG52</f>
        <v>19075699.580000002</v>
      </c>
      <c r="BH54" s="43">
        <f>+BH46+BH52</f>
        <v>5179675.4399999995</v>
      </c>
      <c r="BI54" s="43">
        <f>+BI46+BI52</f>
        <v>8514993</v>
      </c>
      <c r="BJ54" s="43">
        <f>+BJ46+BJ52</f>
        <v>9551464</v>
      </c>
      <c r="BK54" s="43">
        <f>+BK46+BK52</f>
        <v>42321832.019999996</v>
      </c>
      <c r="BL54" s="37"/>
      <c r="BM54" s="43">
        <f>+BM46+BM52</f>
        <v>1612532990.2021167</v>
      </c>
      <c r="BN54" s="37"/>
      <c r="BO54" s="37"/>
      <c r="BP54" s="43">
        <f>+BP46+BP52</f>
        <v>376470107.89250004</v>
      </c>
      <c r="BQ54" s="43">
        <f>+BQ46+BQ52</f>
        <v>389400997.21999997</v>
      </c>
      <c r="BR54" s="43">
        <f>+BR46+BR52</f>
        <v>418459792.74961674</v>
      </c>
      <c r="BS54" s="43">
        <f>+BS46+BS52</f>
        <v>428202092.34000003</v>
      </c>
      <c r="BT54" s="43">
        <f>+BT46+BT52</f>
        <v>1612532990.2021167</v>
      </c>
      <c r="BU54" s="37"/>
      <c r="BV54" s="43">
        <f>+BV46+BV52</f>
        <v>376470107.89250004</v>
      </c>
      <c r="BW54" s="43">
        <f>+BW46+BW52</f>
        <v>765871105.11250007</v>
      </c>
      <c r="BX54" s="43">
        <f>+BX46+BX52</f>
        <v>1184330897.8621163</v>
      </c>
      <c r="BY54" s="43">
        <f>+BY46+BY52</f>
        <v>1612532990.2021167</v>
      </c>
    </row>
    <row r="55" spans="1:77" ht="15.75" thickTop="1" x14ac:dyDescent="0.25"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</row>
    <row r="56" spans="1:77" x14ac:dyDescent="0.25"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</row>
    <row r="57" spans="1:77" x14ac:dyDescent="0.25">
      <c r="A57" s="49">
        <v>0.4</v>
      </c>
      <c r="B57" s="7" t="s">
        <v>95</v>
      </c>
      <c r="C57" t="s">
        <v>254</v>
      </c>
      <c r="D57" t="s">
        <v>249</v>
      </c>
      <c r="E57" t="s">
        <v>250</v>
      </c>
      <c r="F57" t="s">
        <v>129</v>
      </c>
      <c r="G57" t="s">
        <v>130</v>
      </c>
      <c r="H57" s="37"/>
      <c r="I57" s="41">
        <f>I49*$A57</f>
        <v>9479204.2400000002</v>
      </c>
      <c r="J57" s="41">
        <f t="shared" ref="J57:T57" si="34">J49*$A57</f>
        <v>8618327.0160000008</v>
      </c>
      <c r="K57" s="41">
        <f t="shared" si="34"/>
        <v>8904044.784</v>
      </c>
      <c r="L57" s="41">
        <f t="shared" si="34"/>
        <v>0</v>
      </c>
      <c r="M57" s="41">
        <f t="shared" si="34"/>
        <v>0</v>
      </c>
      <c r="N57" s="41">
        <f t="shared" si="34"/>
        <v>0</v>
      </c>
      <c r="O57" s="41">
        <f t="shared" si="34"/>
        <v>0</v>
      </c>
      <c r="P57" s="41">
        <f t="shared" si="34"/>
        <v>0</v>
      </c>
      <c r="Q57" s="41">
        <f t="shared" si="34"/>
        <v>0</v>
      </c>
      <c r="R57" s="41">
        <f t="shared" si="34"/>
        <v>0</v>
      </c>
      <c r="S57" s="41">
        <f t="shared" si="34"/>
        <v>0</v>
      </c>
      <c r="T57" s="41">
        <f t="shared" si="34"/>
        <v>0</v>
      </c>
      <c r="U57" s="42">
        <f>SUM(I57:T57)</f>
        <v>27001576.039999999</v>
      </c>
      <c r="V57" s="37"/>
      <c r="W57" s="41">
        <f t="shared" ref="W57:Z59" si="35">W49*$A57</f>
        <v>0</v>
      </c>
      <c r="X57" s="41">
        <f t="shared" si="35"/>
        <v>0</v>
      </c>
      <c r="Y57" s="41">
        <f t="shared" si="35"/>
        <v>0</v>
      </c>
      <c r="Z57" s="41">
        <f t="shared" si="35"/>
        <v>0</v>
      </c>
      <c r="AA57" s="42">
        <f>SUM(W57:Z57)</f>
        <v>0</v>
      </c>
      <c r="AB57" s="37"/>
      <c r="AC57" s="42">
        <f>U57-AA57</f>
        <v>27001576.039999999</v>
      </c>
      <c r="AD57" s="37"/>
      <c r="AE57" s="37"/>
      <c r="AF57" s="41">
        <f t="shared" ref="AF57:AI59" si="36">AF49*$A57</f>
        <v>27001576.039999999</v>
      </c>
      <c r="AG57" s="41">
        <f t="shared" si="36"/>
        <v>0</v>
      </c>
      <c r="AH57" s="41">
        <f t="shared" si="36"/>
        <v>0</v>
      </c>
      <c r="AI57" s="41">
        <f t="shared" si="36"/>
        <v>0</v>
      </c>
      <c r="AJ57" s="42">
        <f>SUM(AF57:AI57)</f>
        <v>27001576.039999999</v>
      </c>
      <c r="AK57" s="37"/>
      <c r="AL57" s="41">
        <f t="shared" ref="AL57:AO59" si="37">AL49*$A57</f>
        <v>27001576.039999999</v>
      </c>
      <c r="AM57" s="41">
        <f t="shared" si="37"/>
        <v>27001576.039999999</v>
      </c>
      <c r="AN57" s="41">
        <f t="shared" si="37"/>
        <v>27001576.039999999</v>
      </c>
      <c r="AO57" s="41">
        <f t="shared" si="37"/>
        <v>27001576.039999999</v>
      </c>
      <c r="AP57" s="37"/>
      <c r="AQ57" s="37"/>
      <c r="AR57" s="37"/>
      <c r="AS57" s="41">
        <f>AS49*$A57</f>
        <v>7905053.8880000003</v>
      </c>
      <c r="AT57" s="41">
        <f t="shared" ref="AT57:BD57" si="38">AT49*$A57</f>
        <v>7580594.9160000002</v>
      </c>
      <c r="AU57" s="41">
        <f t="shared" si="38"/>
        <v>8189548.6160000004</v>
      </c>
      <c r="AV57" s="41">
        <f t="shared" si="38"/>
        <v>7997834.5240000002</v>
      </c>
      <c r="AW57" s="41">
        <f t="shared" si="38"/>
        <v>8110678.0959999999</v>
      </c>
      <c r="AX57" s="41">
        <f t="shared" si="38"/>
        <v>8249014.5520000001</v>
      </c>
      <c r="AY57" s="41">
        <f t="shared" si="38"/>
        <v>7329271.6359999999</v>
      </c>
      <c r="AZ57" s="41">
        <f t="shared" si="38"/>
        <v>8871889.2719999999</v>
      </c>
      <c r="BA57" s="41">
        <f t="shared" si="38"/>
        <v>8920079.2880000006</v>
      </c>
      <c r="BB57" s="41">
        <f t="shared" si="38"/>
        <v>8863982.4120000005</v>
      </c>
      <c r="BC57" s="41">
        <f t="shared" si="38"/>
        <v>9009629.1799999997</v>
      </c>
      <c r="BD57" s="41">
        <f t="shared" si="38"/>
        <v>9612152.7799999993</v>
      </c>
      <c r="BE57" s="42">
        <f>SUM(AS57:BD57)</f>
        <v>100639729.16</v>
      </c>
      <c r="BF57" s="37"/>
      <c r="BG57" s="41">
        <f t="shared" ref="BG57:BJ59" si="39">BG49*$A57</f>
        <v>4921190.0760000004</v>
      </c>
      <c r="BH57" s="41">
        <f t="shared" si="39"/>
        <v>1352290.2240000002</v>
      </c>
      <c r="BI57" s="41">
        <f t="shared" si="39"/>
        <v>2482780.8000000003</v>
      </c>
      <c r="BJ57" s="41">
        <f t="shared" si="39"/>
        <v>2707776.4000000004</v>
      </c>
      <c r="BK57" s="42">
        <f>SUM(BG57:BJ57)</f>
        <v>11464037.500000002</v>
      </c>
      <c r="BL57" s="37"/>
      <c r="BM57" s="42">
        <f>BE57-BK57</f>
        <v>89175691.659999996</v>
      </c>
      <c r="BN57" s="37"/>
      <c r="BO57" s="37"/>
      <c r="BP57" s="41">
        <f t="shared" ref="BP57:BS59" si="40">BP49*$A57</f>
        <v>18754007.344000001</v>
      </c>
      <c r="BQ57" s="41">
        <f t="shared" si="40"/>
        <v>23005236.947999999</v>
      </c>
      <c r="BR57" s="41">
        <f t="shared" si="40"/>
        <v>22638459.396000005</v>
      </c>
      <c r="BS57" s="41">
        <f t="shared" si="40"/>
        <v>24777987.971999992</v>
      </c>
      <c r="BT57" s="42">
        <f>SUM(BP57:BS57)</f>
        <v>89175691.659999996</v>
      </c>
      <c r="BU57" s="37"/>
      <c r="BV57" s="41">
        <f t="shared" ref="BV57:BY59" si="41">BV49*$A57</f>
        <v>18754007.344000001</v>
      </c>
      <c r="BW57" s="41">
        <f t="shared" si="41"/>
        <v>41759244.291999996</v>
      </c>
      <c r="BX57" s="41">
        <f t="shared" si="41"/>
        <v>64397703.688000001</v>
      </c>
      <c r="BY57" s="41">
        <f t="shared" si="41"/>
        <v>89175691.659999996</v>
      </c>
    </row>
    <row r="58" spans="1:77" x14ac:dyDescent="0.25">
      <c r="A58" s="49">
        <v>0.05</v>
      </c>
      <c r="B58" s="7" t="s">
        <v>98</v>
      </c>
      <c r="C58" t="s">
        <v>252</v>
      </c>
      <c r="D58" t="s">
        <v>244</v>
      </c>
      <c r="E58" t="s">
        <v>245</v>
      </c>
      <c r="F58" t="s">
        <v>243</v>
      </c>
      <c r="G58" t="s">
        <v>130</v>
      </c>
      <c r="H58" s="37"/>
      <c r="I58" s="41">
        <f t="shared" ref="I58:T58" si="42">I50*$A58</f>
        <v>0</v>
      </c>
      <c r="J58" s="41">
        <f t="shared" si="42"/>
        <v>0</v>
      </c>
      <c r="K58" s="41">
        <f t="shared" si="42"/>
        <v>0</v>
      </c>
      <c r="L58" s="41">
        <f t="shared" si="42"/>
        <v>0</v>
      </c>
      <c r="M58" s="41">
        <f t="shared" si="42"/>
        <v>0</v>
      </c>
      <c r="N58" s="41">
        <f t="shared" si="42"/>
        <v>0</v>
      </c>
      <c r="O58" s="41">
        <f t="shared" si="42"/>
        <v>0</v>
      </c>
      <c r="P58" s="41">
        <f t="shared" si="42"/>
        <v>0</v>
      </c>
      <c r="Q58" s="41">
        <f t="shared" si="42"/>
        <v>0</v>
      </c>
      <c r="R58" s="41">
        <f t="shared" si="42"/>
        <v>0</v>
      </c>
      <c r="S58" s="41">
        <f t="shared" si="42"/>
        <v>0</v>
      </c>
      <c r="T58" s="41">
        <f t="shared" si="42"/>
        <v>0</v>
      </c>
      <c r="U58" s="42">
        <f>SUM(I58:T58)</f>
        <v>0</v>
      </c>
      <c r="V58" s="37"/>
      <c r="W58" s="41">
        <f t="shared" si="35"/>
        <v>0</v>
      </c>
      <c r="X58" s="41">
        <f t="shared" si="35"/>
        <v>0</v>
      </c>
      <c r="Y58" s="41">
        <f t="shared" si="35"/>
        <v>0</v>
      </c>
      <c r="Z58" s="41">
        <f t="shared" si="35"/>
        <v>0</v>
      </c>
      <c r="AA58" s="42">
        <f>SUM(W58:Z58)</f>
        <v>0</v>
      </c>
      <c r="AB58" s="37"/>
      <c r="AC58" s="42">
        <f>U58-AA58</f>
        <v>0</v>
      </c>
      <c r="AD58" s="37"/>
      <c r="AE58" s="37"/>
      <c r="AF58" s="41">
        <f t="shared" si="36"/>
        <v>0</v>
      </c>
      <c r="AG58" s="41">
        <f t="shared" si="36"/>
        <v>0</v>
      </c>
      <c r="AH58" s="41">
        <f t="shared" si="36"/>
        <v>0</v>
      </c>
      <c r="AI58" s="41">
        <f t="shared" si="36"/>
        <v>0</v>
      </c>
      <c r="AJ58" s="42">
        <f>SUM(AF58:AI58)</f>
        <v>0</v>
      </c>
      <c r="AK58" s="37"/>
      <c r="AL58" s="41">
        <f t="shared" si="37"/>
        <v>0</v>
      </c>
      <c r="AM58" s="41">
        <f t="shared" si="37"/>
        <v>0</v>
      </c>
      <c r="AN58" s="41">
        <f t="shared" si="37"/>
        <v>0</v>
      </c>
      <c r="AO58" s="41">
        <f t="shared" si="37"/>
        <v>0</v>
      </c>
      <c r="AP58" s="37"/>
      <c r="AQ58" s="37"/>
      <c r="AR58" s="37"/>
      <c r="AS58" s="41">
        <f t="shared" ref="AS58:BD58" si="43">AS50*$A58</f>
        <v>153651.70699999997</v>
      </c>
      <c r="AT58" s="41">
        <f t="shared" si="43"/>
        <v>115212.92799999999</v>
      </c>
      <c r="AU58" s="41">
        <f t="shared" si="43"/>
        <v>129640.886</v>
      </c>
      <c r="AV58" s="41">
        <f t="shared" si="43"/>
        <v>146131.80350000001</v>
      </c>
      <c r="AW58" s="41">
        <f t="shared" si="43"/>
        <v>132842.86750000002</v>
      </c>
      <c r="AX58" s="41">
        <f t="shared" si="43"/>
        <v>140215.5785</v>
      </c>
      <c r="AY58" s="41">
        <f t="shared" si="43"/>
        <v>136832.08300000001</v>
      </c>
      <c r="AZ58" s="41">
        <f t="shared" si="43"/>
        <v>139231.7065</v>
      </c>
      <c r="BA58" s="41">
        <f t="shared" si="43"/>
        <v>142119.421</v>
      </c>
      <c r="BB58" s="41">
        <f t="shared" si="43"/>
        <v>141631.05800000002</v>
      </c>
      <c r="BC58" s="41">
        <f t="shared" si="43"/>
        <v>143099.45499999999</v>
      </c>
      <c r="BD58" s="41">
        <f t="shared" si="43"/>
        <v>151503.85399999999</v>
      </c>
      <c r="BE58" s="42">
        <f>SUM(AS58:BD58)</f>
        <v>1672113.3480000002</v>
      </c>
      <c r="BF58" s="37"/>
      <c r="BG58" s="41">
        <f t="shared" si="39"/>
        <v>0</v>
      </c>
      <c r="BH58" s="41">
        <f t="shared" si="39"/>
        <v>0</v>
      </c>
      <c r="BI58" s="41">
        <f t="shared" si="39"/>
        <v>0</v>
      </c>
      <c r="BJ58" s="41">
        <f t="shared" si="39"/>
        <v>0</v>
      </c>
      <c r="BK58" s="42">
        <f>SUM(BG58:BJ58)</f>
        <v>0</v>
      </c>
      <c r="BL58" s="37"/>
      <c r="BM58" s="42">
        <f>BE58-BK58</f>
        <v>1672113.3480000002</v>
      </c>
      <c r="BN58" s="37"/>
      <c r="BO58" s="37"/>
      <c r="BP58" s="41">
        <f t="shared" si="40"/>
        <v>398505.52099999995</v>
      </c>
      <c r="BQ58" s="41">
        <f t="shared" si="40"/>
        <v>419190.24949999998</v>
      </c>
      <c r="BR58" s="41">
        <f t="shared" si="40"/>
        <v>418183.21049999999</v>
      </c>
      <c r="BS58" s="41">
        <f t="shared" si="40"/>
        <v>436234.36699999985</v>
      </c>
      <c r="BT58" s="42">
        <f>SUM(BP58:BS58)</f>
        <v>1672113.3479999998</v>
      </c>
      <c r="BU58" s="37"/>
      <c r="BV58" s="41">
        <f t="shared" si="41"/>
        <v>398505.52099999995</v>
      </c>
      <c r="BW58" s="41">
        <f t="shared" si="41"/>
        <v>817695.77049999998</v>
      </c>
      <c r="BX58" s="41">
        <f t="shared" si="41"/>
        <v>1235878.9809999999</v>
      </c>
      <c r="BY58" s="41">
        <f t="shared" si="41"/>
        <v>1672113.3479999998</v>
      </c>
    </row>
    <row r="59" spans="1:77" x14ac:dyDescent="0.25">
      <c r="A59" s="49">
        <v>0.05</v>
      </c>
      <c r="B59" s="7" t="s">
        <v>101</v>
      </c>
      <c r="C59" t="s">
        <v>251</v>
      </c>
      <c r="D59" t="s">
        <v>241</v>
      </c>
      <c r="E59" t="s">
        <v>242</v>
      </c>
      <c r="F59" t="s">
        <v>243</v>
      </c>
      <c r="G59" t="s">
        <v>130</v>
      </c>
      <c r="H59" s="37"/>
      <c r="I59" s="41">
        <f t="shared" ref="I59:T59" si="44">I51*$A59</f>
        <v>0</v>
      </c>
      <c r="J59" s="41">
        <f t="shared" si="44"/>
        <v>0</v>
      </c>
      <c r="K59" s="41">
        <f t="shared" si="44"/>
        <v>0</v>
      </c>
      <c r="L59" s="41">
        <f t="shared" si="44"/>
        <v>0</v>
      </c>
      <c r="M59" s="41">
        <f t="shared" si="44"/>
        <v>0</v>
      </c>
      <c r="N59" s="41">
        <f t="shared" si="44"/>
        <v>0</v>
      </c>
      <c r="O59" s="41">
        <f t="shared" si="44"/>
        <v>0</v>
      </c>
      <c r="P59" s="41">
        <f t="shared" si="44"/>
        <v>0</v>
      </c>
      <c r="Q59" s="41">
        <f t="shared" si="44"/>
        <v>0</v>
      </c>
      <c r="R59" s="41">
        <f t="shared" si="44"/>
        <v>0</v>
      </c>
      <c r="S59" s="41">
        <f t="shared" si="44"/>
        <v>0</v>
      </c>
      <c r="T59" s="41">
        <f t="shared" si="44"/>
        <v>0</v>
      </c>
      <c r="U59" s="42">
        <f>SUM(I59:T59)</f>
        <v>0</v>
      </c>
      <c r="V59" s="37"/>
      <c r="W59" s="41">
        <f t="shared" si="35"/>
        <v>0</v>
      </c>
      <c r="X59" s="41">
        <f t="shared" si="35"/>
        <v>0</v>
      </c>
      <c r="Y59" s="41">
        <f t="shared" si="35"/>
        <v>0</v>
      </c>
      <c r="Z59" s="41">
        <f t="shared" si="35"/>
        <v>0</v>
      </c>
      <c r="AA59" s="42">
        <f>SUM(W59:Z59)</f>
        <v>0</v>
      </c>
      <c r="AB59" s="37"/>
      <c r="AC59" s="42">
        <f>U59-AA59</f>
        <v>0</v>
      </c>
      <c r="AD59" s="37"/>
      <c r="AE59" s="37"/>
      <c r="AF59" s="41">
        <f t="shared" si="36"/>
        <v>0</v>
      </c>
      <c r="AG59" s="41">
        <f t="shared" si="36"/>
        <v>0</v>
      </c>
      <c r="AH59" s="41">
        <f t="shared" si="36"/>
        <v>0</v>
      </c>
      <c r="AI59" s="41">
        <f t="shared" si="36"/>
        <v>0</v>
      </c>
      <c r="AJ59" s="42">
        <f>SUM(AF59:AI59)</f>
        <v>0</v>
      </c>
      <c r="AK59" s="37"/>
      <c r="AL59" s="41">
        <f t="shared" si="37"/>
        <v>0</v>
      </c>
      <c r="AM59" s="41">
        <f t="shared" si="37"/>
        <v>0</v>
      </c>
      <c r="AN59" s="41">
        <f t="shared" si="37"/>
        <v>0</v>
      </c>
      <c r="AO59" s="41">
        <f t="shared" si="37"/>
        <v>0</v>
      </c>
      <c r="AP59" s="37"/>
      <c r="AQ59" s="37"/>
      <c r="AR59" s="37"/>
      <c r="AS59" s="41">
        <f t="shared" ref="AS59:BD59" si="45">AS51*$A59</f>
        <v>51696.167500000003</v>
      </c>
      <c r="AT59" s="41">
        <f t="shared" si="45"/>
        <v>50537.266624999997</v>
      </c>
      <c r="AU59" s="41">
        <f t="shared" si="45"/>
        <v>50962.6855</v>
      </c>
      <c r="AV59" s="41">
        <f t="shared" si="45"/>
        <v>50937.893000000004</v>
      </c>
      <c r="AW59" s="41">
        <f t="shared" si="45"/>
        <v>51058.336500000005</v>
      </c>
      <c r="AX59" s="41">
        <f t="shared" si="45"/>
        <v>51305.664500000006</v>
      </c>
      <c r="AY59" s="41">
        <f t="shared" si="45"/>
        <v>51316.758000000002</v>
      </c>
      <c r="AZ59" s="41">
        <f t="shared" si="45"/>
        <v>51291.895499999999</v>
      </c>
      <c r="BA59" s="41">
        <f t="shared" si="45"/>
        <v>51292.181500000006</v>
      </c>
      <c r="BB59" s="41">
        <f t="shared" si="45"/>
        <v>51177.881500000003</v>
      </c>
      <c r="BC59" s="41">
        <f t="shared" si="45"/>
        <v>45241.706999999995</v>
      </c>
      <c r="BD59" s="41">
        <f t="shared" si="45"/>
        <v>45237.59150000001</v>
      </c>
      <c r="BE59" s="42">
        <f>SUM(AS59:BD59)</f>
        <v>602056.02862500004</v>
      </c>
      <c r="BF59" s="37"/>
      <c r="BG59" s="41">
        <f t="shared" si="39"/>
        <v>0</v>
      </c>
      <c r="BH59" s="41">
        <f t="shared" si="39"/>
        <v>0</v>
      </c>
      <c r="BI59" s="41">
        <f t="shared" si="39"/>
        <v>0</v>
      </c>
      <c r="BJ59" s="41">
        <f t="shared" si="39"/>
        <v>0</v>
      </c>
      <c r="BK59" s="42">
        <f>SUM(BG59:BJ59)</f>
        <v>0</v>
      </c>
      <c r="BL59" s="37"/>
      <c r="BM59" s="42">
        <f>BE59-BK59</f>
        <v>602056.02862500004</v>
      </c>
      <c r="BN59" s="37"/>
      <c r="BO59" s="37"/>
      <c r="BP59" s="41">
        <f t="shared" si="40"/>
        <v>153196.11962500002</v>
      </c>
      <c r="BQ59" s="41">
        <f t="shared" si="40"/>
        <v>153301.894</v>
      </c>
      <c r="BR59" s="41">
        <f t="shared" si="40"/>
        <v>153900.83500000002</v>
      </c>
      <c r="BS59" s="41">
        <f t="shared" si="40"/>
        <v>141657.18000000008</v>
      </c>
      <c r="BT59" s="42">
        <f>SUM(BP59:BS59)</f>
        <v>602056.02862500015</v>
      </c>
      <c r="BU59" s="37"/>
      <c r="BV59" s="41">
        <f t="shared" si="41"/>
        <v>153196.11962500002</v>
      </c>
      <c r="BW59" s="41">
        <f t="shared" si="41"/>
        <v>306498.01362500002</v>
      </c>
      <c r="BX59" s="41">
        <f t="shared" si="41"/>
        <v>460398.84862500004</v>
      </c>
      <c r="BY59" s="41">
        <f t="shared" si="41"/>
        <v>602056.02862500015</v>
      </c>
    </row>
    <row r="60" spans="1:77" ht="15.75" thickBot="1" x14ac:dyDescent="0.3">
      <c r="B60" s="35" t="s">
        <v>235</v>
      </c>
      <c r="C60" s="35"/>
      <c r="D60" s="35"/>
      <c r="E60" s="35"/>
      <c r="F60" s="35"/>
      <c r="G60" s="35"/>
      <c r="H60" s="37"/>
      <c r="I60" s="43">
        <f t="shared" ref="I60:U60" si="46">SUM(I57:I59)</f>
        <v>9479204.2400000002</v>
      </c>
      <c r="J60" s="43">
        <f t="shared" si="46"/>
        <v>8618327.0160000008</v>
      </c>
      <c r="K60" s="43">
        <f t="shared" si="46"/>
        <v>8904044.784</v>
      </c>
      <c r="L60" s="43">
        <f t="shared" si="46"/>
        <v>0</v>
      </c>
      <c r="M60" s="43">
        <f t="shared" si="46"/>
        <v>0</v>
      </c>
      <c r="N60" s="43">
        <f t="shared" si="46"/>
        <v>0</v>
      </c>
      <c r="O60" s="43">
        <f t="shared" si="46"/>
        <v>0</v>
      </c>
      <c r="P60" s="43">
        <f t="shared" si="46"/>
        <v>0</v>
      </c>
      <c r="Q60" s="43">
        <f t="shared" si="46"/>
        <v>0</v>
      </c>
      <c r="R60" s="43">
        <f t="shared" si="46"/>
        <v>0</v>
      </c>
      <c r="S60" s="43">
        <f t="shared" si="46"/>
        <v>0</v>
      </c>
      <c r="T60" s="43">
        <f t="shared" si="46"/>
        <v>0</v>
      </c>
      <c r="U60" s="43">
        <f t="shared" si="46"/>
        <v>27001576.039999999</v>
      </c>
      <c r="V60" s="37"/>
      <c r="W60" s="43">
        <f>SUM(W57:W59)</f>
        <v>0</v>
      </c>
      <c r="X60" s="43">
        <f>SUM(X57:X59)</f>
        <v>0</v>
      </c>
      <c r="Y60" s="43">
        <f>SUM(Y57:Y59)</f>
        <v>0</v>
      </c>
      <c r="Z60" s="43">
        <f>SUM(Z57:Z59)</f>
        <v>0</v>
      </c>
      <c r="AA60" s="43">
        <f>SUM(AA57:AA59)</f>
        <v>0</v>
      </c>
      <c r="AB60" s="37"/>
      <c r="AC60" s="43">
        <f>SUM(AC57:AC59)</f>
        <v>27001576.039999999</v>
      </c>
      <c r="AD60" s="37"/>
      <c r="AE60" s="37"/>
      <c r="AF60" s="43">
        <f>SUM(AF57:AF59)</f>
        <v>27001576.039999999</v>
      </c>
      <c r="AG60" s="43">
        <f>SUM(AG57:AG59)</f>
        <v>0</v>
      </c>
      <c r="AH60" s="43">
        <f>SUM(AH57:AH59)</f>
        <v>0</v>
      </c>
      <c r="AI60" s="43">
        <f>SUM(AI57:AI59)</f>
        <v>0</v>
      </c>
      <c r="AJ60" s="43">
        <f>SUM(AJ57:AJ59)</f>
        <v>27001576.039999999</v>
      </c>
      <c r="AK60" s="37"/>
      <c r="AL60" s="43">
        <f>SUM(AL57:AL59)</f>
        <v>27001576.039999999</v>
      </c>
      <c r="AM60" s="43">
        <f>SUM(AM57:AM59)</f>
        <v>27001576.039999999</v>
      </c>
      <c r="AN60" s="43">
        <f>SUM(AN57:AN59)</f>
        <v>27001576.039999999</v>
      </c>
      <c r="AO60" s="43">
        <f>SUM(AO57:AO59)</f>
        <v>27001576.039999999</v>
      </c>
      <c r="AP60" s="37"/>
      <c r="AQ60" s="37"/>
      <c r="AR60" s="37"/>
      <c r="AS60" s="43">
        <f>SUM(AS57:AS59)</f>
        <v>8110401.7625000011</v>
      </c>
      <c r="AT60" s="43">
        <f t="shared" ref="AT60:BE60" si="47">SUM(AT57:AT59)</f>
        <v>7746345.1106250007</v>
      </c>
      <c r="AU60" s="43">
        <f t="shared" si="47"/>
        <v>8370152.1875</v>
      </c>
      <c r="AV60" s="43">
        <f t="shared" si="47"/>
        <v>8194904.2205000008</v>
      </c>
      <c r="AW60" s="43">
        <f t="shared" si="47"/>
        <v>8294579.2999999998</v>
      </c>
      <c r="AX60" s="43">
        <f t="shared" si="47"/>
        <v>8440535.7949999999</v>
      </c>
      <c r="AY60" s="43">
        <f t="shared" si="47"/>
        <v>7517420.477</v>
      </c>
      <c r="AZ60" s="43">
        <f t="shared" si="47"/>
        <v>9062412.8739999998</v>
      </c>
      <c r="BA60" s="43">
        <f t="shared" si="47"/>
        <v>9113490.8905000016</v>
      </c>
      <c r="BB60" s="43">
        <f t="shared" si="47"/>
        <v>9056791.3515000008</v>
      </c>
      <c r="BC60" s="43">
        <f t="shared" si="47"/>
        <v>9197970.3420000002</v>
      </c>
      <c r="BD60" s="43">
        <f t="shared" si="47"/>
        <v>9808894.2254999988</v>
      </c>
      <c r="BE60" s="43">
        <f t="shared" si="47"/>
        <v>102913898.536625</v>
      </c>
      <c r="BF60" s="37"/>
      <c r="BG60" s="43">
        <f>SUM(BG57:BG59)</f>
        <v>4921190.0760000004</v>
      </c>
      <c r="BH60" s="43">
        <f>SUM(BH57:BH59)</f>
        <v>1352290.2240000002</v>
      </c>
      <c r="BI60" s="43">
        <f>SUM(BI57:BI59)</f>
        <v>2482780.8000000003</v>
      </c>
      <c r="BJ60" s="43">
        <f>SUM(BJ57:BJ59)</f>
        <v>2707776.4000000004</v>
      </c>
      <c r="BK60" s="43">
        <f>SUM(BK57:BK59)</f>
        <v>11464037.500000002</v>
      </c>
      <c r="BL60" s="37"/>
      <c r="BM60" s="43">
        <f>SUM(BM57:BM59)</f>
        <v>91449861.036624998</v>
      </c>
      <c r="BN60" s="37"/>
      <c r="BO60" s="37"/>
      <c r="BP60" s="43">
        <f>SUM(BP57:BP59)</f>
        <v>19305708.984625001</v>
      </c>
      <c r="BQ60" s="43">
        <f>SUM(BQ57:BQ59)</f>
        <v>23577729.091499999</v>
      </c>
      <c r="BR60" s="43">
        <f>SUM(BR57:BR59)</f>
        <v>23210543.441500004</v>
      </c>
      <c r="BS60" s="43">
        <f>SUM(BS57:BS59)</f>
        <v>25355879.51899999</v>
      </c>
      <c r="BT60" s="43">
        <f>SUM(BT57:BT59)</f>
        <v>91449861.036624998</v>
      </c>
      <c r="BU60" s="37"/>
      <c r="BV60" s="43">
        <f>SUM(BV57:BV59)</f>
        <v>19305708.984625001</v>
      </c>
      <c r="BW60" s="43">
        <f>SUM(BW57:BW59)</f>
        <v>42883438.076124996</v>
      </c>
      <c r="BX60" s="43">
        <f>SUM(BX57:BX59)</f>
        <v>66093981.517624997</v>
      </c>
      <c r="BY60" s="43">
        <f>SUM(BY57:BY59)</f>
        <v>91449861.036624998</v>
      </c>
    </row>
    <row r="61" spans="1:77" ht="15.75" thickTop="1" x14ac:dyDescent="0.25"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77" ht="15.75" thickBot="1" x14ac:dyDescent="0.3">
      <c r="B62" s="35" t="s">
        <v>236</v>
      </c>
      <c r="C62" s="35"/>
      <c r="D62" s="35"/>
      <c r="E62" s="35"/>
      <c r="F62" s="35"/>
      <c r="G62" s="35"/>
      <c r="H62" s="37"/>
      <c r="I62" s="43">
        <f>+I46+I60</f>
        <v>141344372.75</v>
      </c>
      <c r="J62" s="43">
        <f t="shared" ref="J62:AC62" si="48">+J46+J60</f>
        <v>134542995.24599999</v>
      </c>
      <c r="K62" s="43">
        <f t="shared" si="48"/>
        <v>132546175.37399998</v>
      </c>
      <c r="L62" s="43">
        <f t="shared" si="48"/>
        <v>0</v>
      </c>
      <c r="M62" s="43">
        <f t="shared" si="48"/>
        <v>0</v>
      </c>
      <c r="N62" s="43">
        <f t="shared" si="48"/>
        <v>0</v>
      </c>
      <c r="O62" s="43">
        <f t="shared" si="48"/>
        <v>0</v>
      </c>
      <c r="P62" s="43">
        <f t="shared" si="48"/>
        <v>0</v>
      </c>
      <c r="Q62" s="43">
        <f t="shared" si="48"/>
        <v>0</v>
      </c>
      <c r="R62" s="43">
        <f t="shared" si="48"/>
        <v>0</v>
      </c>
      <c r="S62" s="43">
        <f t="shared" si="48"/>
        <v>0</v>
      </c>
      <c r="T62" s="43">
        <f t="shared" si="48"/>
        <v>0</v>
      </c>
      <c r="U62" s="43">
        <f t="shared" si="48"/>
        <v>408433543.36999995</v>
      </c>
      <c r="V62" s="37"/>
      <c r="W62" s="43">
        <f t="shared" si="48"/>
        <v>15227.259999999998</v>
      </c>
      <c r="X62" s="43">
        <f t="shared" si="48"/>
        <v>0</v>
      </c>
      <c r="Y62" s="43">
        <f t="shared" si="48"/>
        <v>0</v>
      </c>
      <c r="Z62" s="43">
        <f t="shared" si="48"/>
        <v>0</v>
      </c>
      <c r="AA62" s="43">
        <f t="shared" si="48"/>
        <v>15227.259999999998</v>
      </c>
      <c r="AB62" s="37"/>
      <c r="AC62" s="43">
        <f t="shared" si="48"/>
        <v>408418316.10999995</v>
      </c>
      <c r="AD62" s="37"/>
      <c r="AE62" s="37"/>
      <c r="AF62" s="43">
        <f t="shared" ref="AF62:AO62" si="49">+AF46+AF60</f>
        <v>408418316.10999995</v>
      </c>
      <c r="AG62" s="43">
        <f t="shared" si="49"/>
        <v>0</v>
      </c>
      <c r="AH62" s="43">
        <f t="shared" si="49"/>
        <v>0</v>
      </c>
      <c r="AI62" s="43">
        <f t="shared" si="49"/>
        <v>0</v>
      </c>
      <c r="AJ62" s="43">
        <f t="shared" si="49"/>
        <v>408418316.10999995</v>
      </c>
      <c r="AK62" s="37"/>
      <c r="AL62" s="43">
        <f t="shared" si="49"/>
        <v>408418316.10999995</v>
      </c>
      <c r="AM62" s="43">
        <f t="shared" si="49"/>
        <v>408418316.10999995</v>
      </c>
      <c r="AN62" s="43">
        <f t="shared" si="49"/>
        <v>408418316.10999995</v>
      </c>
      <c r="AO62" s="43">
        <f t="shared" si="49"/>
        <v>408418316.10999995</v>
      </c>
      <c r="AP62" s="37"/>
      <c r="AQ62" s="37"/>
      <c r="AR62" s="37"/>
      <c r="AS62" s="43">
        <f>+AS46+AS60</f>
        <v>123273473.3391667</v>
      </c>
      <c r="AT62" s="43">
        <f t="shared" ref="AT62:BE62" si="50">+AT46+AT60</f>
        <v>111796744.68729167</v>
      </c>
      <c r="AU62" s="43">
        <f t="shared" si="50"/>
        <v>114480462.14416668</v>
      </c>
      <c r="AV62" s="43">
        <f t="shared" si="50"/>
        <v>112788133.62716669</v>
      </c>
      <c r="AW62" s="43">
        <f t="shared" si="50"/>
        <v>115861771.99666665</v>
      </c>
      <c r="AX62" s="43">
        <f t="shared" si="50"/>
        <v>118517125.55166666</v>
      </c>
      <c r="AY62" s="43">
        <f t="shared" si="50"/>
        <v>120591987.57366665</v>
      </c>
      <c r="AZ62" s="43">
        <f t="shared" si="50"/>
        <v>129238810.05066665</v>
      </c>
      <c r="BA62" s="43">
        <f t="shared" si="50"/>
        <v>128592530.96678349</v>
      </c>
      <c r="BB62" s="43">
        <f t="shared" si="50"/>
        <v>126128907.93816671</v>
      </c>
      <c r="BC62" s="43">
        <f t="shared" si="50"/>
        <v>128780148.02866665</v>
      </c>
      <c r="BD62" s="43">
        <f t="shared" si="50"/>
        <v>130635914.42216669</v>
      </c>
      <c r="BE62" s="43">
        <f t="shared" si="50"/>
        <v>1460686010.3262415</v>
      </c>
      <c r="BF62" s="37"/>
      <c r="BG62" s="43">
        <f>+BG46+BG60</f>
        <v>11693914.466000002</v>
      </c>
      <c r="BH62" s="43">
        <f>+BH46+BH60</f>
        <v>3151240.1040000003</v>
      </c>
      <c r="BI62" s="43">
        <f>+BI46+BI60</f>
        <v>4790821.8000000007</v>
      </c>
      <c r="BJ62" s="43">
        <f>+BJ46+BJ60</f>
        <v>5489799.4000000004</v>
      </c>
      <c r="BK62" s="43">
        <f>+BK46+BK60</f>
        <v>25125775.770000003</v>
      </c>
      <c r="BL62" s="37"/>
      <c r="BM62" s="43">
        <f>+BM46+BM60</f>
        <v>1435560234.5562418</v>
      </c>
      <c r="BN62" s="37"/>
      <c r="BO62" s="37"/>
      <c r="BP62" s="43">
        <f>+BP46+BP60</f>
        <v>337856765.70462501</v>
      </c>
      <c r="BQ62" s="43">
        <f>+BQ46+BQ60</f>
        <v>344015791.07149994</v>
      </c>
      <c r="BR62" s="43">
        <f>+BR46+BR60</f>
        <v>373632506.79111677</v>
      </c>
      <c r="BS62" s="43">
        <f>+BS46+BS60</f>
        <v>380055170.98900008</v>
      </c>
      <c r="BT62" s="43">
        <f>+BT46+BT60</f>
        <v>1435560234.5562418</v>
      </c>
      <c r="BU62" s="37"/>
      <c r="BV62" s="43">
        <f>+BV46+BV60</f>
        <v>337856765.70462501</v>
      </c>
      <c r="BW62" s="43">
        <f>+BW46+BW60</f>
        <v>681872556.77612507</v>
      </c>
      <c r="BX62" s="43">
        <f>+BX46+BX60</f>
        <v>1055505063.5672414</v>
      </c>
      <c r="BY62" s="43">
        <f>+BY46+BY60</f>
        <v>1435560234.5562418</v>
      </c>
    </row>
    <row r="63" spans="1:77" ht="15.75" thickTop="1" x14ac:dyDescent="0.25">
      <c r="AC63" s="34"/>
      <c r="BM63" s="34"/>
    </row>
  </sheetData>
  <mergeCells count="8">
    <mergeCell ref="I4:U4"/>
    <mergeCell ref="W4:AA4"/>
    <mergeCell ref="AS4:BE4"/>
    <mergeCell ref="BG4:BK4"/>
    <mergeCell ref="AF4:AJ4"/>
    <mergeCell ref="AL4:AO4"/>
    <mergeCell ref="BP4:BT4"/>
    <mergeCell ref="BV4:BY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60"/>
  <sheetViews>
    <sheetView showGridLines="0" zoomScale="80" zoomScaleNormal="80" workbookViewId="0">
      <pane xSplit="7" ySplit="5" topLeftCell="U33" activePane="bottomRight" state="frozen"/>
      <selection pane="topRight" activeCell="H1" sqref="H1"/>
      <selection pane="bottomLeft" activeCell="A4" sqref="A4"/>
      <selection pane="bottomRight" activeCell="U42" sqref="U42"/>
    </sheetView>
  </sheetViews>
  <sheetFormatPr baseColWidth="10" defaultRowHeight="15" outlineLevelCol="1" x14ac:dyDescent="0.25"/>
  <cols>
    <col min="1" max="1" width="2.7109375" customWidth="1"/>
    <col min="4" max="4" width="34.7109375" customWidth="1"/>
    <col min="5" max="5" width="26.5703125" customWidth="1"/>
    <col min="6" max="6" width="13.85546875" customWidth="1"/>
    <col min="7" max="7" width="17.42578125" bestFit="1" customWidth="1"/>
    <col min="8" max="8" width="2.7109375" customWidth="1"/>
    <col min="9" max="11" width="13.5703125" customWidth="1" outlineLevel="1"/>
    <col min="12" max="20" width="13.5703125" hidden="1" customWidth="1" outlineLevel="1"/>
    <col min="21" max="21" width="15.7109375" customWidth="1"/>
    <col min="22" max="22" width="2.7109375" customWidth="1"/>
    <col min="23" max="23" width="15.28515625" customWidth="1"/>
    <col min="24" max="26" width="15.28515625" hidden="1" customWidth="1"/>
    <col min="27" max="27" width="15.28515625" customWidth="1"/>
    <col min="28" max="28" width="2.7109375" customWidth="1"/>
    <col min="29" max="29" width="15.140625" customWidth="1"/>
    <col min="30" max="32" width="15.140625" hidden="1" customWidth="1"/>
    <col min="33" max="34" width="2.7109375" customWidth="1"/>
    <col min="35" max="46" width="13.5703125" hidden="1" customWidth="1" outlineLevel="1"/>
    <col min="47" max="47" width="15.7109375" customWidth="1" collapsed="1"/>
    <col min="48" max="48" width="2.7109375" customWidth="1"/>
    <col min="49" max="53" width="15.28515625" customWidth="1"/>
    <col min="54" max="54" width="2.7109375" customWidth="1"/>
    <col min="55" max="58" width="15.140625" customWidth="1"/>
    <col min="59" max="60" width="2.7109375" customWidth="1"/>
  </cols>
  <sheetData>
    <row r="1" spans="2:61" x14ac:dyDescent="0.25">
      <c r="B1" s="25" t="s">
        <v>105</v>
      </c>
    </row>
    <row r="2" spans="2:61" x14ac:dyDescent="0.25">
      <c r="B2" s="25" t="s">
        <v>304</v>
      </c>
      <c r="BA2" s="37"/>
    </row>
    <row r="3" spans="2:61" x14ac:dyDescent="0.25">
      <c r="B3" s="73" t="s">
        <v>305</v>
      </c>
    </row>
    <row r="4" spans="2:61" x14ac:dyDescent="0.25">
      <c r="I4" s="82" t="s">
        <v>239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80" t="s">
        <v>287</v>
      </c>
      <c r="X4" s="80"/>
      <c r="Y4" s="80"/>
      <c r="Z4" s="80"/>
      <c r="AA4" s="80"/>
      <c r="AC4" s="81" t="s">
        <v>288</v>
      </c>
      <c r="AD4" s="81"/>
      <c r="AE4" s="81"/>
      <c r="AF4" s="81"/>
      <c r="AI4" s="83" t="s">
        <v>239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W4" s="85" t="s">
        <v>287</v>
      </c>
      <c r="AX4" s="85"/>
      <c r="AY4" s="85"/>
      <c r="AZ4" s="85"/>
      <c r="BA4" s="85"/>
      <c r="BC4" s="87" t="s">
        <v>288</v>
      </c>
      <c r="BD4" s="87"/>
      <c r="BE4" s="87"/>
      <c r="BF4" s="87"/>
    </row>
    <row r="5" spans="2:61" x14ac:dyDescent="0.25">
      <c r="B5" s="33" t="s">
        <v>122</v>
      </c>
      <c r="C5" s="33" t="s">
        <v>123</v>
      </c>
      <c r="D5" s="33" t="s">
        <v>124</v>
      </c>
      <c r="E5" s="33" t="s">
        <v>125</v>
      </c>
      <c r="F5" s="32" t="s">
        <v>126</v>
      </c>
      <c r="G5" s="32" t="s">
        <v>127</v>
      </c>
      <c r="I5" s="32">
        <v>44197</v>
      </c>
      <c r="J5" s="32">
        <v>44228</v>
      </c>
      <c r="K5" s="32">
        <v>44256</v>
      </c>
      <c r="L5" s="32">
        <v>44287</v>
      </c>
      <c r="M5" s="32">
        <v>44317</v>
      </c>
      <c r="N5" s="32">
        <v>44348</v>
      </c>
      <c r="O5" s="32">
        <v>44378</v>
      </c>
      <c r="P5" s="32">
        <v>44409</v>
      </c>
      <c r="Q5" s="32">
        <v>44440</v>
      </c>
      <c r="R5" s="32">
        <v>44470</v>
      </c>
      <c r="S5" s="32">
        <v>44501</v>
      </c>
      <c r="T5" s="32">
        <v>44531</v>
      </c>
      <c r="U5" s="32" t="s">
        <v>297</v>
      </c>
      <c r="W5" s="32" t="str">
        <f>Control!$C$16</f>
        <v>1Q 2022</v>
      </c>
      <c r="X5" s="32" t="str">
        <f>Control!$C$17</f>
        <v>2Q 2022</v>
      </c>
      <c r="Y5" s="32" t="str">
        <f>Control!$C$18</f>
        <v>3Q 2022</v>
      </c>
      <c r="Z5" s="32" t="str">
        <f>Control!$C$19</f>
        <v>4Q 2022</v>
      </c>
      <c r="AA5" s="36" t="str">
        <f>CONCATENATE("Total ",CY)</f>
        <v>Total 2022</v>
      </c>
      <c r="AC5" s="36" t="str">
        <f>Control!$F$16</f>
        <v>3M22</v>
      </c>
      <c r="AD5" s="36" t="str">
        <f>Control!$F$17</f>
        <v>6M22</v>
      </c>
      <c r="AE5" s="36" t="str">
        <f>Control!$F$18</f>
        <v>9M22</v>
      </c>
      <c r="AF5" s="36">
        <f>Control!$F$19</f>
        <v>2022</v>
      </c>
      <c r="AI5" s="84">
        <v>44197</v>
      </c>
      <c r="AJ5" s="84">
        <v>44228</v>
      </c>
      <c r="AK5" s="84">
        <v>44256</v>
      </c>
      <c r="AL5" s="84">
        <v>44287</v>
      </c>
      <c r="AM5" s="84">
        <v>44317</v>
      </c>
      <c r="AN5" s="84">
        <v>44348</v>
      </c>
      <c r="AO5" s="84">
        <v>44378</v>
      </c>
      <c r="AP5" s="84">
        <v>44409</v>
      </c>
      <c r="AQ5" s="84">
        <v>44440</v>
      </c>
      <c r="AR5" s="84">
        <v>44470</v>
      </c>
      <c r="AS5" s="84">
        <v>44501</v>
      </c>
      <c r="AT5" s="84">
        <v>44531</v>
      </c>
      <c r="AU5" s="84" t="s">
        <v>297</v>
      </c>
      <c r="AW5" s="84" t="str">
        <f>Control!$I$16</f>
        <v>1Q 2021</v>
      </c>
      <c r="AX5" s="84" t="str">
        <f>Control!$I$17</f>
        <v>2Q 2021</v>
      </c>
      <c r="AY5" s="84" t="str">
        <f>Control!$I$18</f>
        <v>3Q 2021</v>
      </c>
      <c r="AZ5" s="84" t="str">
        <f>Control!$I$19</f>
        <v>4Q 2021</v>
      </c>
      <c r="BA5" s="86" t="str">
        <f>CONCATENATE("Total ",PY)</f>
        <v>Total 2021</v>
      </c>
      <c r="BC5" s="86" t="str">
        <f>Control!$K$16</f>
        <v>3M21</v>
      </c>
      <c r="BD5" s="86" t="str">
        <f>Control!$K$17</f>
        <v>6M21</v>
      </c>
      <c r="BE5" s="86" t="str">
        <f>Control!$K$18</f>
        <v>9M21</v>
      </c>
      <c r="BF5" s="86">
        <f>Control!$K$19</f>
        <v>2021</v>
      </c>
    </row>
    <row r="6" spans="2:61" x14ac:dyDescent="0.25">
      <c r="B6" s="7" t="s">
        <v>17</v>
      </c>
      <c r="C6" s="28">
        <v>927</v>
      </c>
      <c r="D6" t="s">
        <v>128</v>
      </c>
      <c r="E6" t="s">
        <v>18</v>
      </c>
      <c r="F6" s="28" t="s">
        <v>129</v>
      </c>
      <c r="G6" s="28" t="s">
        <v>130</v>
      </c>
      <c r="H6" s="37"/>
      <c r="I6" s="46">
        <v>4627720.3</v>
      </c>
      <c r="J6" s="46">
        <v>4695241.089999998</v>
      </c>
      <c r="K6" s="46">
        <v>5210733.9899999993</v>
      </c>
      <c r="L6" s="46"/>
      <c r="M6" s="46"/>
      <c r="N6" s="46"/>
      <c r="O6" s="46"/>
      <c r="P6" s="46"/>
      <c r="Q6" s="46"/>
      <c r="R6" s="46"/>
      <c r="S6" s="46"/>
      <c r="T6" s="46"/>
      <c r="U6" s="42">
        <f>SUM(I6:T6)</f>
        <v>14533695.379999995</v>
      </c>
      <c r="W6" s="37">
        <f>AC6</f>
        <v>14533695.379999995</v>
      </c>
      <c r="X6" s="37">
        <f>AD6-AC6</f>
        <v>0</v>
      </c>
      <c r="Y6" s="37">
        <f>AE6-AD6</f>
        <v>0</v>
      </c>
      <c r="Z6" s="37">
        <f>AF6-AE6</f>
        <v>0</v>
      </c>
      <c r="AA6" s="42">
        <f>SUM(W6:Z6)</f>
        <v>14533695.379999995</v>
      </c>
      <c r="AC6" s="37">
        <f>SUM($I6:K6)</f>
        <v>14533695.379999995</v>
      </c>
      <c r="AD6" s="37">
        <f>SUM($I6:N6)</f>
        <v>14533695.379999995</v>
      </c>
      <c r="AE6" s="37">
        <f>SUM($I6:Q6)</f>
        <v>14533695.379999995</v>
      </c>
      <c r="AF6" s="37">
        <f>SUM($I6:T6)</f>
        <v>14533695.379999995</v>
      </c>
      <c r="AG6" s="37"/>
      <c r="AH6" s="37"/>
      <c r="AI6" s="46">
        <v>3526690.47</v>
      </c>
      <c r="AJ6" s="46">
        <v>3769204.4700000007</v>
      </c>
      <c r="AK6" s="46">
        <v>3185313.9999999995</v>
      </c>
      <c r="AL6" s="46">
        <v>4073998.9499999988</v>
      </c>
      <c r="AM6" s="46">
        <v>4546090.2699999996</v>
      </c>
      <c r="AN6" s="46">
        <v>4671255.7399999993</v>
      </c>
      <c r="AO6" s="46">
        <v>3988837</v>
      </c>
      <c r="AP6" s="46">
        <v>4809391.5299999993</v>
      </c>
      <c r="AQ6" s="46">
        <v>4914477.5799999982</v>
      </c>
      <c r="AR6" s="46">
        <v>4637994.09</v>
      </c>
      <c r="AS6" s="46">
        <v>4801456.7299999995</v>
      </c>
      <c r="AT6" s="46">
        <v>5798886.3599999994</v>
      </c>
      <c r="AU6" s="42">
        <f>SUM(AI6:AT6)</f>
        <v>52723597.18999999</v>
      </c>
      <c r="AW6" s="37">
        <f>BC6</f>
        <v>10481208.940000001</v>
      </c>
      <c r="AX6" s="37">
        <f>BD6-BC6</f>
        <v>13291344.959999997</v>
      </c>
      <c r="AY6" s="37">
        <f>BE6-BD6</f>
        <v>13712706.109999999</v>
      </c>
      <c r="AZ6" s="37">
        <f>BF6-BE6</f>
        <v>15238337.179999992</v>
      </c>
      <c r="BA6" s="42">
        <f>SUM(AO6:AZ6)</f>
        <v>134398237.66999996</v>
      </c>
      <c r="BC6" s="37">
        <f>SUM($AI6:AK6)</f>
        <v>10481208.940000001</v>
      </c>
      <c r="BD6" s="37">
        <f>SUM($AI6:AN6)</f>
        <v>23772553.899999999</v>
      </c>
      <c r="BE6" s="37">
        <f>SUM($AI6:AQ6)</f>
        <v>37485260.009999998</v>
      </c>
      <c r="BF6" s="37">
        <f>SUM($AI6:AT6)</f>
        <v>52723597.18999999</v>
      </c>
      <c r="BG6" s="37"/>
      <c r="BI6" s="37"/>
    </row>
    <row r="7" spans="2:61" x14ac:dyDescent="0.25">
      <c r="B7" s="7" t="s">
        <v>14</v>
      </c>
      <c r="C7" s="28">
        <v>937</v>
      </c>
      <c r="D7" t="s">
        <v>131</v>
      </c>
      <c r="E7" t="s">
        <v>132</v>
      </c>
      <c r="F7" s="28" t="s">
        <v>129</v>
      </c>
      <c r="G7" s="28" t="s">
        <v>130</v>
      </c>
      <c r="H7" s="37"/>
      <c r="I7" s="46">
        <v>8994714.6799999978</v>
      </c>
      <c r="J7" s="46">
        <v>4761835.0200000023</v>
      </c>
      <c r="K7" s="46">
        <v>5002849.2833333351</v>
      </c>
      <c r="L7" s="46"/>
      <c r="M7" s="46"/>
      <c r="N7" s="46"/>
      <c r="O7" s="46"/>
      <c r="P7" s="46"/>
      <c r="Q7" s="46"/>
      <c r="R7" s="46"/>
      <c r="S7" s="46"/>
      <c r="T7" s="46"/>
      <c r="U7" s="42">
        <f t="shared" ref="U7:U40" si="0">SUM(I7:T7)</f>
        <v>18759398.983333334</v>
      </c>
      <c r="W7" s="37">
        <f t="shared" ref="W7:W43" si="1">AC7</f>
        <v>18759398.983333334</v>
      </c>
      <c r="X7" s="37">
        <f t="shared" ref="X7:X43" si="2">AD7-AC7</f>
        <v>0</v>
      </c>
      <c r="Y7" s="37">
        <f t="shared" ref="Y7:Y43" si="3">AE7-AD7</f>
        <v>0</v>
      </c>
      <c r="Z7" s="37">
        <f t="shared" ref="Z7:Z43" si="4">AF7-AE7</f>
        <v>0</v>
      </c>
      <c r="AA7" s="42">
        <f t="shared" ref="AA7:AA43" si="5">SUM(W7:Z7)</f>
        <v>18759398.983333334</v>
      </c>
      <c r="AC7" s="37">
        <f>SUM($I7:K7)</f>
        <v>18759398.983333334</v>
      </c>
      <c r="AD7" s="37">
        <f>SUM($I7:N7)</f>
        <v>18759398.983333334</v>
      </c>
      <c r="AE7" s="37">
        <f>SUM($I7:Q7)</f>
        <v>18759398.983333334</v>
      </c>
      <c r="AF7" s="37">
        <f>SUM($I7:T7)</f>
        <v>18759398.983333334</v>
      </c>
      <c r="AG7" s="37"/>
      <c r="AH7" s="37"/>
      <c r="AI7" s="46">
        <v>8506050.2400000021</v>
      </c>
      <c r="AJ7" s="46">
        <v>3936901.6600000011</v>
      </c>
      <c r="AK7" s="46">
        <v>3954395.700000002</v>
      </c>
      <c r="AL7" s="46">
        <v>4035914.6800000006</v>
      </c>
      <c r="AM7" s="46">
        <v>4049050.919999999</v>
      </c>
      <c r="AN7" s="46">
        <v>4292209.7350000003</v>
      </c>
      <c r="AO7" s="46">
        <v>4289372</v>
      </c>
      <c r="AP7" s="46">
        <v>4622472.998333334</v>
      </c>
      <c r="AQ7" s="46">
        <v>4709545.1983333351</v>
      </c>
      <c r="AR7" s="46">
        <v>4816576.6883333353</v>
      </c>
      <c r="AS7" s="46">
        <v>4979035.8900000006</v>
      </c>
      <c r="AT7" s="46">
        <v>6223567.370000001</v>
      </c>
      <c r="AU7" s="42">
        <f t="shared" ref="AU7:AU40" si="6">SUM(AI7:AT7)</f>
        <v>58415093.080000013</v>
      </c>
      <c r="AW7" s="37">
        <f t="shared" ref="AW7:AW43" si="7">BC7</f>
        <v>16397347.600000005</v>
      </c>
      <c r="AX7" s="37">
        <f t="shared" ref="AX7:AX43" si="8">BD7-BC7</f>
        <v>12377175.334999997</v>
      </c>
      <c r="AY7" s="37">
        <f t="shared" ref="AY7:AY43" si="9">BE7-BD7</f>
        <v>13621390.196666673</v>
      </c>
      <c r="AZ7" s="37">
        <f t="shared" ref="AZ7:AZ43" si="10">BF7-BE7</f>
        <v>16019179.948333338</v>
      </c>
      <c r="BA7" s="42">
        <f t="shared" ref="BA7:BA40" si="11">SUM(AO7:AZ7)</f>
        <v>146470756.30500004</v>
      </c>
      <c r="BC7" s="37">
        <f>SUM($AI7:AK7)</f>
        <v>16397347.600000005</v>
      </c>
      <c r="BD7" s="37">
        <f>SUM($AI7:AN7)</f>
        <v>28774522.935000002</v>
      </c>
      <c r="BE7" s="37">
        <f>SUM($AI7:AQ7)</f>
        <v>42395913.131666675</v>
      </c>
      <c r="BF7" s="37">
        <f>SUM($AI7:AT7)</f>
        <v>58415093.080000013</v>
      </c>
      <c r="BG7" s="37"/>
      <c r="BI7" s="37"/>
    </row>
    <row r="8" spans="2:61" x14ac:dyDescent="0.25">
      <c r="B8" s="7" t="s">
        <v>29</v>
      </c>
      <c r="C8" s="28">
        <v>972</v>
      </c>
      <c r="D8" t="s">
        <v>133</v>
      </c>
      <c r="E8" t="s">
        <v>134</v>
      </c>
      <c r="F8" s="28" t="s">
        <v>129</v>
      </c>
      <c r="G8" s="28" t="s">
        <v>130</v>
      </c>
      <c r="H8" s="37"/>
      <c r="I8" s="46">
        <v>7809832.2613103408</v>
      </c>
      <c r="J8" s="46">
        <v>4077968.36</v>
      </c>
      <c r="K8" s="46">
        <v>4319331.6526436768</v>
      </c>
      <c r="L8" s="46"/>
      <c r="M8" s="46"/>
      <c r="N8" s="46"/>
      <c r="O8" s="46"/>
      <c r="P8" s="46"/>
      <c r="Q8" s="46"/>
      <c r="R8" s="46"/>
      <c r="S8" s="46"/>
      <c r="T8" s="46"/>
      <c r="U8" s="42">
        <f t="shared" si="0"/>
        <v>16207132.273954017</v>
      </c>
      <c r="W8" s="37">
        <f t="shared" si="1"/>
        <v>16207132.273954017</v>
      </c>
      <c r="X8" s="37">
        <f t="shared" si="2"/>
        <v>0</v>
      </c>
      <c r="Y8" s="37">
        <f t="shared" si="3"/>
        <v>0</v>
      </c>
      <c r="Z8" s="37">
        <f t="shared" si="4"/>
        <v>0</v>
      </c>
      <c r="AA8" s="42">
        <f t="shared" si="5"/>
        <v>16207132.273954017</v>
      </c>
      <c r="AC8" s="37">
        <f>SUM($I8:K8)</f>
        <v>16207132.273954017</v>
      </c>
      <c r="AD8" s="37">
        <f>SUM($I8:N8)</f>
        <v>16207132.273954017</v>
      </c>
      <c r="AE8" s="37">
        <f>SUM($I8:Q8)</f>
        <v>16207132.273954017</v>
      </c>
      <c r="AF8" s="37">
        <f>SUM($I8:T8)</f>
        <v>16207132.273954017</v>
      </c>
      <c r="AG8" s="37"/>
      <c r="AH8" s="37"/>
      <c r="AI8" s="46">
        <v>7747772.1488965526</v>
      </c>
      <c r="AJ8" s="46">
        <v>2603069.6606206931</v>
      </c>
      <c r="AK8" s="46">
        <v>3680456.2000000011</v>
      </c>
      <c r="AL8" s="46">
        <v>4080848.2720593126</v>
      </c>
      <c r="AM8" s="46">
        <v>3949074.7199999997</v>
      </c>
      <c r="AN8" s="46">
        <v>4055993.1134565538</v>
      </c>
      <c r="AO8" s="46">
        <v>3738030</v>
      </c>
      <c r="AP8" s="46">
        <v>4058967.1900000009</v>
      </c>
      <c r="AQ8" s="46">
        <v>4230080.5599999996</v>
      </c>
      <c r="AR8" s="46">
        <v>3689761.9254482714</v>
      </c>
      <c r="AS8" s="46">
        <v>4014657.4480993091</v>
      </c>
      <c r="AT8" s="46">
        <v>4418294.78</v>
      </c>
      <c r="AU8" s="42">
        <f t="shared" si="6"/>
        <v>50267006.01858069</v>
      </c>
      <c r="AW8" s="37">
        <f t="shared" si="7"/>
        <v>14031298.009517247</v>
      </c>
      <c r="AX8" s="37">
        <f t="shared" si="8"/>
        <v>12085916.105515866</v>
      </c>
      <c r="AY8" s="37">
        <f t="shared" si="9"/>
        <v>12027077.75</v>
      </c>
      <c r="AZ8" s="37">
        <f t="shared" si="10"/>
        <v>12122714.153547578</v>
      </c>
      <c r="BA8" s="42">
        <f t="shared" si="11"/>
        <v>124683803.94070897</v>
      </c>
      <c r="BC8" s="37">
        <f>SUM($AI8:AK8)</f>
        <v>14031298.009517247</v>
      </c>
      <c r="BD8" s="37">
        <f>SUM($AI8:AN8)</f>
        <v>26117214.115033112</v>
      </c>
      <c r="BE8" s="37">
        <f>SUM($AI8:AQ8)</f>
        <v>38144291.865033112</v>
      </c>
      <c r="BF8" s="37">
        <f>SUM($AI8:AT8)</f>
        <v>50267006.01858069</v>
      </c>
      <c r="BG8" s="37"/>
      <c r="BI8" s="37"/>
    </row>
    <row r="9" spans="2:61" x14ac:dyDescent="0.25">
      <c r="B9" s="7" t="s">
        <v>33</v>
      </c>
      <c r="C9" s="28">
        <v>973</v>
      </c>
      <c r="D9" t="s">
        <v>135</v>
      </c>
      <c r="E9" t="s">
        <v>34</v>
      </c>
      <c r="F9" s="28" t="s">
        <v>129</v>
      </c>
      <c r="G9" s="28" t="s">
        <v>130</v>
      </c>
      <c r="H9" s="37"/>
      <c r="I9" s="46">
        <v>3461661.3458620738</v>
      </c>
      <c r="J9" s="46">
        <v>3264377.058724138</v>
      </c>
      <c r="K9" s="46">
        <v>3289046.044241379</v>
      </c>
      <c r="L9" s="46"/>
      <c r="M9" s="46"/>
      <c r="N9" s="46"/>
      <c r="O9" s="46"/>
      <c r="P9" s="46"/>
      <c r="Q9" s="46"/>
      <c r="R9" s="46"/>
      <c r="S9" s="46"/>
      <c r="T9" s="46"/>
      <c r="U9" s="42">
        <f t="shared" si="0"/>
        <v>10015084.448827591</v>
      </c>
      <c r="W9" s="37">
        <f t="shared" si="1"/>
        <v>10015084.448827591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42">
        <f t="shared" si="5"/>
        <v>10015084.448827591</v>
      </c>
      <c r="AC9" s="37">
        <f>SUM($I9:K9)</f>
        <v>10015084.448827591</v>
      </c>
      <c r="AD9" s="37">
        <f>SUM($I9:N9)</f>
        <v>10015084.448827591</v>
      </c>
      <c r="AE9" s="37">
        <f>SUM($I9:Q9)</f>
        <v>10015084.448827591</v>
      </c>
      <c r="AF9" s="37">
        <f>SUM($I9:T9)</f>
        <v>10015084.448827591</v>
      </c>
      <c r="AG9" s="37"/>
      <c r="AH9" s="37"/>
      <c r="AI9" s="46">
        <v>3182572.6146164909</v>
      </c>
      <c r="AJ9" s="46">
        <v>2729148.9850059981</v>
      </c>
      <c r="AK9" s="46">
        <v>3097500.54</v>
      </c>
      <c r="AL9" s="46">
        <v>3058710.3412586227</v>
      </c>
      <c r="AM9" s="46">
        <v>2943685.7226206921</v>
      </c>
      <c r="AN9" s="46">
        <v>3281257.0168965557</v>
      </c>
      <c r="AO9" s="46">
        <v>2793221</v>
      </c>
      <c r="AP9" s="46">
        <v>3284633.1624137927</v>
      </c>
      <c r="AQ9" s="46">
        <v>3169204.0735862111</v>
      </c>
      <c r="AR9" s="46">
        <v>3219080.0192608694</v>
      </c>
      <c r="AS9" s="46">
        <v>3230842.7710344875</v>
      </c>
      <c r="AT9" s="46">
        <v>3206543.4306206927</v>
      </c>
      <c r="AU9" s="42">
        <f t="shared" si="6"/>
        <v>37196399.677314408</v>
      </c>
      <c r="AW9" s="37">
        <f t="shared" si="7"/>
        <v>9009222.139622489</v>
      </c>
      <c r="AX9" s="37">
        <f t="shared" si="8"/>
        <v>9283653.08077587</v>
      </c>
      <c r="AY9" s="37">
        <f t="shared" si="9"/>
        <v>9247058.2360000014</v>
      </c>
      <c r="AZ9" s="37">
        <f t="shared" si="10"/>
        <v>9656466.2209160477</v>
      </c>
      <c r="BA9" s="42">
        <f t="shared" si="11"/>
        <v>93296323.811544865</v>
      </c>
      <c r="BC9" s="37">
        <f>SUM($AI9:AK9)</f>
        <v>9009222.139622489</v>
      </c>
      <c r="BD9" s="37">
        <f>SUM($AI9:AN9)</f>
        <v>18292875.220398359</v>
      </c>
      <c r="BE9" s="37">
        <f>SUM($AI9:AQ9)</f>
        <v>27539933.45639836</v>
      </c>
      <c r="BF9" s="37">
        <f>SUM($AI9:AT9)</f>
        <v>37196399.677314408</v>
      </c>
      <c r="BG9" s="37"/>
      <c r="BI9" s="37"/>
    </row>
    <row r="10" spans="2:61" x14ac:dyDescent="0.25">
      <c r="B10" s="7" t="s">
        <v>20</v>
      </c>
      <c r="C10" s="28">
        <v>974</v>
      </c>
      <c r="D10" t="s">
        <v>136</v>
      </c>
      <c r="E10" t="s">
        <v>21</v>
      </c>
      <c r="F10" s="28" t="s">
        <v>129</v>
      </c>
      <c r="G10" s="28" t="s">
        <v>130</v>
      </c>
      <c r="H10" s="37"/>
      <c r="I10" s="46">
        <v>1350399.2000000002</v>
      </c>
      <c r="J10" s="46">
        <v>1202376.68</v>
      </c>
      <c r="K10" s="46">
        <v>1078756.3060517246</v>
      </c>
      <c r="L10" s="46"/>
      <c r="M10" s="46"/>
      <c r="N10" s="46"/>
      <c r="O10" s="46"/>
      <c r="P10" s="46"/>
      <c r="Q10" s="46"/>
      <c r="R10" s="46"/>
      <c r="S10" s="46"/>
      <c r="T10" s="46"/>
      <c r="U10" s="42">
        <f t="shared" si="0"/>
        <v>3631532.1860517245</v>
      </c>
      <c r="W10" s="37">
        <f t="shared" si="1"/>
        <v>3631532.1860517245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42">
        <f t="shared" si="5"/>
        <v>3631532.1860517245</v>
      </c>
      <c r="AC10" s="37">
        <f>SUM($I10:K10)</f>
        <v>3631532.1860517245</v>
      </c>
      <c r="AD10" s="37">
        <f>SUM($I10:N10)</f>
        <v>3631532.1860517245</v>
      </c>
      <c r="AE10" s="37">
        <f>SUM($I10:Q10)</f>
        <v>3631532.1860517245</v>
      </c>
      <c r="AF10" s="37">
        <f>SUM($I10:T10)</f>
        <v>3631532.1860517245</v>
      </c>
      <c r="AG10" s="37"/>
      <c r="AH10" s="37"/>
      <c r="AI10" s="46">
        <v>1089420.3267413788</v>
      </c>
      <c r="AJ10" s="46">
        <v>914560.78398275794</v>
      </c>
      <c r="AK10" s="46">
        <v>947234.21000000031</v>
      </c>
      <c r="AL10" s="46">
        <v>1193272.0399999998</v>
      </c>
      <c r="AM10" s="46">
        <v>1084215.7915689661</v>
      </c>
      <c r="AN10" s="46">
        <v>1077098.6050172416</v>
      </c>
      <c r="AO10" s="46">
        <v>922074</v>
      </c>
      <c r="AP10" s="46">
        <v>1423522.7205344827</v>
      </c>
      <c r="AQ10" s="46">
        <v>1156802.6939827595</v>
      </c>
      <c r="AR10" s="46">
        <v>1177256.3000000003</v>
      </c>
      <c r="AS10" s="46">
        <v>1363382.88</v>
      </c>
      <c r="AT10" s="46">
        <v>813566.63000000035</v>
      </c>
      <c r="AU10" s="42">
        <f t="shared" si="6"/>
        <v>13162406.981827589</v>
      </c>
      <c r="AW10" s="37">
        <f t="shared" si="7"/>
        <v>2951215.3207241371</v>
      </c>
      <c r="AX10" s="37">
        <f t="shared" si="8"/>
        <v>3354586.4365862068</v>
      </c>
      <c r="AY10" s="37">
        <f t="shared" si="9"/>
        <v>3502399.4145172425</v>
      </c>
      <c r="AZ10" s="37">
        <f t="shared" si="10"/>
        <v>3354205.8100000024</v>
      </c>
      <c r="BA10" s="42">
        <f t="shared" si="11"/>
        <v>33181419.188172419</v>
      </c>
      <c r="BC10" s="37">
        <f>SUM($AI10:AK10)</f>
        <v>2951215.3207241371</v>
      </c>
      <c r="BD10" s="37">
        <f>SUM($AI10:AN10)</f>
        <v>6305801.7573103439</v>
      </c>
      <c r="BE10" s="37">
        <f>SUM($AI10:AQ10)</f>
        <v>9808201.1718275864</v>
      </c>
      <c r="BF10" s="37">
        <f>SUM($AI10:AT10)</f>
        <v>13162406.981827589</v>
      </c>
      <c r="BG10" s="37"/>
      <c r="BI10" s="37"/>
    </row>
    <row r="11" spans="2:61" x14ac:dyDescent="0.25">
      <c r="B11" s="7" t="s">
        <v>35</v>
      </c>
      <c r="C11" s="28">
        <v>975</v>
      </c>
      <c r="D11" t="s">
        <v>137</v>
      </c>
      <c r="E11" t="s">
        <v>138</v>
      </c>
      <c r="F11" s="28" t="s">
        <v>129</v>
      </c>
      <c r="G11" s="28" t="s">
        <v>130</v>
      </c>
      <c r="H11" s="37"/>
      <c r="I11" s="46">
        <v>2536707.2855999996</v>
      </c>
      <c r="J11" s="46">
        <v>2356592.5757241379</v>
      </c>
      <c r="K11" s="46">
        <v>2473875.2999999998</v>
      </c>
      <c r="L11" s="46"/>
      <c r="M11" s="46"/>
      <c r="N11" s="46"/>
      <c r="O11" s="46"/>
      <c r="P11" s="46"/>
      <c r="Q11" s="46"/>
      <c r="R11" s="46"/>
      <c r="S11" s="46"/>
      <c r="T11" s="46"/>
      <c r="U11" s="42">
        <f t="shared" si="0"/>
        <v>7367175.1613241369</v>
      </c>
      <c r="W11" s="37">
        <f t="shared" si="1"/>
        <v>7367175.1613241369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42">
        <f t="shared" si="5"/>
        <v>7367175.1613241369</v>
      </c>
      <c r="AC11" s="37">
        <f>SUM($I11:K11)</f>
        <v>7367175.1613241369</v>
      </c>
      <c r="AD11" s="37">
        <f>SUM($I11:N11)</f>
        <v>7367175.1613241369</v>
      </c>
      <c r="AE11" s="37">
        <f>SUM($I11:Q11)</f>
        <v>7367175.1613241369</v>
      </c>
      <c r="AF11" s="37">
        <f>SUM($I11:T11)</f>
        <v>7367175.1613241369</v>
      </c>
      <c r="AG11" s="37"/>
      <c r="AH11" s="37"/>
      <c r="AI11" s="46">
        <v>2420143.7278125938</v>
      </c>
      <c r="AJ11" s="46">
        <v>2269566.0408620695</v>
      </c>
      <c r="AK11" s="46">
        <v>2215425.8621370322</v>
      </c>
      <c r="AL11" s="46">
        <v>2194637.2614689656</v>
      </c>
      <c r="AM11" s="46">
        <v>2222097.6750689652</v>
      </c>
      <c r="AN11" s="46">
        <v>2099458.751551724</v>
      </c>
      <c r="AO11" s="46">
        <v>2530057</v>
      </c>
      <c r="AP11" s="46">
        <v>2650390.2700000005</v>
      </c>
      <c r="AQ11" s="46">
        <v>2591006.6299999994</v>
      </c>
      <c r="AR11" s="46">
        <v>2620461.8099999991</v>
      </c>
      <c r="AS11" s="46">
        <v>2541384.5612068959</v>
      </c>
      <c r="AT11" s="46">
        <v>2172608.3225309439</v>
      </c>
      <c r="AU11" s="42">
        <f t="shared" si="6"/>
        <v>28527237.912639186</v>
      </c>
      <c r="AW11" s="37">
        <f t="shared" si="7"/>
        <v>6905135.630811695</v>
      </c>
      <c r="AX11" s="37">
        <f t="shared" si="8"/>
        <v>6516193.6880896538</v>
      </c>
      <c r="AY11" s="37">
        <f t="shared" si="9"/>
        <v>7771453.8999999985</v>
      </c>
      <c r="AZ11" s="37">
        <f t="shared" si="10"/>
        <v>7334454.6937378384</v>
      </c>
      <c r="BA11" s="42">
        <f t="shared" si="11"/>
        <v>72160384.419016212</v>
      </c>
      <c r="BC11" s="37">
        <f>SUM($AI11:AK11)</f>
        <v>6905135.630811695</v>
      </c>
      <c r="BD11" s="37">
        <f>SUM($AI11:AN11)</f>
        <v>13421329.318901349</v>
      </c>
      <c r="BE11" s="37">
        <f>SUM($AI11:AQ11)</f>
        <v>21192783.218901347</v>
      </c>
      <c r="BF11" s="37">
        <f>SUM($AI11:AT11)</f>
        <v>28527237.912639186</v>
      </c>
      <c r="BG11" s="37"/>
      <c r="BI11" s="37"/>
    </row>
    <row r="12" spans="2:61" x14ac:dyDescent="0.25">
      <c r="B12" s="7" t="s">
        <v>40</v>
      </c>
      <c r="C12" s="28">
        <v>976</v>
      </c>
      <c r="D12" t="s">
        <v>139</v>
      </c>
      <c r="E12" t="s">
        <v>140</v>
      </c>
      <c r="F12" s="28" t="s">
        <v>129</v>
      </c>
      <c r="G12" s="28" t="s">
        <v>130</v>
      </c>
      <c r="H12" s="37"/>
      <c r="I12" s="46">
        <v>3613813.4500000007</v>
      </c>
      <c r="J12" s="46">
        <v>3177880.12</v>
      </c>
      <c r="K12" s="46">
        <v>3172526.3511111122</v>
      </c>
      <c r="L12" s="46"/>
      <c r="M12" s="46"/>
      <c r="N12" s="46"/>
      <c r="O12" s="46"/>
      <c r="P12" s="46"/>
      <c r="Q12" s="46"/>
      <c r="R12" s="46"/>
      <c r="S12" s="46"/>
      <c r="T12" s="46"/>
      <c r="U12" s="42">
        <f t="shared" si="0"/>
        <v>9964219.9211111125</v>
      </c>
      <c r="W12" s="37">
        <f t="shared" si="1"/>
        <v>9964219.9211111125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42">
        <f t="shared" si="5"/>
        <v>9964219.9211111125</v>
      </c>
      <c r="AC12" s="37">
        <f>SUM($I12:K12)</f>
        <v>9964219.9211111125</v>
      </c>
      <c r="AD12" s="37">
        <f>SUM($I12:N12)</f>
        <v>9964219.9211111125</v>
      </c>
      <c r="AE12" s="37">
        <f>SUM($I12:Q12)</f>
        <v>9964219.9211111125</v>
      </c>
      <c r="AF12" s="37">
        <f>SUM($I12:T12)</f>
        <v>9964219.9211111125</v>
      </c>
      <c r="AG12" s="37"/>
      <c r="AH12" s="37"/>
      <c r="AI12" s="46">
        <v>2687542.1934999274</v>
      </c>
      <c r="AJ12" s="46">
        <v>2659468.8686949676</v>
      </c>
      <c r="AK12" s="46">
        <v>2761483.1906564496</v>
      </c>
      <c r="AL12" s="46">
        <v>2854512.0061245975</v>
      </c>
      <c r="AM12" s="46">
        <v>2673732.7409305233</v>
      </c>
      <c r="AN12" s="46">
        <v>2714445.4594612801</v>
      </c>
      <c r="AO12" s="46">
        <v>2958227</v>
      </c>
      <c r="AP12" s="46">
        <v>3106252.0531897806</v>
      </c>
      <c r="AQ12" s="46">
        <v>3498998.5673231166</v>
      </c>
      <c r="AR12" s="46">
        <v>3579101.5180638549</v>
      </c>
      <c r="AS12" s="46">
        <v>3886124.6985259256</v>
      </c>
      <c r="AT12" s="46">
        <v>3949578.5362814805</v>
      </c>
      <c r="AU12" s="42">
        <f t="shared" si="6"/>
        <v>37329466.8327519</v>
      </c>
      <c r="AW12" s="37">
        <f t="shared" si="7"/>
        <v>8108494.2528513446</v>
      </c>
      <c r="AX12" s="37">
        <f t="shared" si="8"/>
        <v>8242690.2065164</v>
      </c>
      <c r="AY12" s="37">
        <f t="shared" si="9"/>
        <v>9563477.6205128953</v>
      </c>
      <c r="AZ12" s="37">
        <f t="shared" si="10"/>
        <v>11414804.75287126</v>
      </c>
      <c r="BA12" s="42">
        <f t="shared" si="11"/>
        <v>95637216.038887963</v>
      </c>
      <c r="BC12" s="37">
        <f>SUM($AI12:AK12)</f>
        <v>8108494.2528513446</v>
      </c>
      <c r="BD12" s="37">
        <f>SUM($AI12:AN12)</f>
        <v>16351184.459367745</v>
      </c>
      <c r="BE12" s="37">
        <f>SUM($AI12:AQ12)</f>
        <v>25914662.07988064</v>
      </c>
      <c r="BF12" s="37">
        <f>SUM($AI12:AT12)</f>
        <v>37329466.8327519</v>
      </c>
      <c r="BG12" s="37"/>
      <c r="BI12" s="37"/>
    </row>
    <row r="13" spans="2:61" x14ac:dyDescent="0.25">
      <c r="B13" s="7" t="s">
        <v>48</v>
      </c>
      <c r="C13" s="28">
        <v>977</v>
      </c>
      <c r="D13" t="s">
        <v>141</v>
      </c>
      <c r="E13" t="s">
        <v>142</v>
      </c>
      <c r="F13" s="28" t="s">
        <v>129</v>
      </c>
      <c r="G13" s="28" t="s">
        <v>130</v>
      </c>
      <c r="H13" s="37"/>
      <c r="I13" s="46">
        <v>1383442.5800000005</v>
      </c>
      <c r="J13" s="46">
        <v>1512385.6528489883</v>
      </c>
      <c r="K13" s="46">
        <v>1347209.7696646666</v>
      </c>
      <c r="L13" s="46"/>
      <c r="M13" s="46"/>
      <c r="N13" s="46"/>
      <c r="O13" s="46"/>
      <c r="P13" s="46"/>
      <c r="Q13" s="46"/>
      <c r="R13" s="46"/>
      <c r="S13" s="46"/>
      <c r="T13" s="46"/>
      <c r="U13" s="42">
        <f t="shared" si="0"/>
        <v>4243038.0025136555</v>
      </c>
      <c r="W13" s="37">
        <f t="shared" si="1"/>
        <v>4243038.0025136555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42">
        <f t="shared" si="5"/>
        <v>4243038.0025136555</v>
      </c>
      <c r="AC13" s="37">
        <f>SUM($I13:K13)</f>
        <v>4243038.0025136555</v>
      </c>
      <c r="AD13" s="37">
        <f>SUM($I13:N13)</f>
        <v>4243038.0025136555</v>
      </c>
      <c r="AE13" s="37">
        <f>SUM($I13:Q13)</f>
        <v>4243038.0025136555</v>
      </c>
      <c r="AF13" s="37">
        <f>SUM($I13:T13)</f>
        <v>4243038.0025136555</v>
      </c>
      <c r="AG13" s="37"/>
      <c r="AH13" s="37"/>
      <c r="AI13" s="46">
        <v>1842746.7009567916</v>
      </c>
      <c r="AJ13" s="46">
        <v>1182416.3545310346</v>
      </c>
      <c r="AK13" s="46">
        <v>1810782.7091218389</v>
      </c>
      <c r="AL13" s="46">
        <v>1443359.9615999998</v>
      </c>
      <c r="AM13" s="46">
        <v>1988851.5842551719</v>
      </c>
      <c r="AN13" s="46">
        <v>1923462.7707202372</v>
      </c>
      <c r="AO13" s="46">
        <v>1827821</v>
      </c>
      <c r="AP13" s="46">
        <v>1904240.4458413792</v>
      </c>
      <c r="AQ13" s="46">
        <v>1867538.4557034483</v>
      </c>
      <c r="AR13" s="46">
        <v>1133483.5716128079</v>
      </c>
      <c r="AS13" s="46">
        <v>1508534.9907862071</v>
      </c>
      <c r="AT13" s="46">
        <v>1773935.9928160987</v>
      </c>
      <c r="AU13" s="42">
        <f t="shared" si="6"/>
        <v>20207174.537945013</v>
      </c>
      <c r="AW13" s="37">
        <f t="shared" si="7"/>
        <v>4835945.7646096656</v>
      </c>
      <c r="AX13" s="37">
        <f t="shared" si="8"/>
        <v>5355674.3165754089</v>
      </c>
      <c r="AY13" s="37">
        <f t="shared" si="9"/>
        <v>5599599.901544828</v>
      </c>
      <c r="AZ13" s="37">
        <f t="shared" si="10"/>
        <v>4415954.555215111</v>
      </c>
      <c r="BA13" s="42">
        <f t="shared" si="11"/>
        <v>50429903.532649972</v>
      </c>
      <c r="BC13" s="37">
        <f>SUM($AI13:AK13)</f>
        <v>4835945.7646096656</v>
      </c>
      <c r="BD13" s="37">
        <f>SUM($AI13:AN13)</f>
        <v>10191620.081185075</v>
      </c>
      <c r="BE13" s="37">
        <f>SUM($AI13:AQ13)</f>
        <v>15791219.982729902</v>
      </c>
      <c r="BF13" s="37">
        <f>SUM($AI13:AT13)</f>
        <v>20207174.537945013</v>
      </c>
      <c r="BG13" s="37"/>
      <c r="BI13" s="37"/>
    </row>
    <row r="14" spans="2:61" x14ac:dyDescent="0.25">
      <c r="B14" s="7" t="s">
        <v>51</v>
      </c>
      <c r="C14" s="28">
        <v>978</v>
      </c>
      <c r="D14" t="s">
        <v>143</v>
      </c>
      <c r="E14" t="s">
        <v>52</v>
      </c>
      <c r="F14" s="28" t="s">
        <v>129</v>
      </c>
      <c r="G14" s="28" t="s">
        <v>130</v>
      </c>
      <c r="H14" s="37"/>
      <c r="I14" s="46">
        <v>1499365.8000000003</v>
      </c>
      <c r="J14" s="46">
        <v>1341424.3899999997</v>
      </c>
      <c r="K14" s="46">
        <v>1427408.3399999999</v>
      </c>
      <c r="L14" s="46"/>
      <c r="M14" s="46"/>
      <c r="N14" s="46"/>
      <c r="O14" s="46"/>
      <c r="P14" s="46"/>
      <c r="Q14" s="46"/>
      <c r="R14" s="46"/>
      <c r="S14" s="46"/>
      <c r="T14" s="46"/>
      <c r="U14" s="42">
        <f t="shared" si="0"/>
        <v>4268198.5299999993</v>
      </c>
      <c r="W14" s="37">
        <f t="shared" si="1"/>
        <v>4268198.5299999993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42">
        <f t="shared" si="5"/>
        <v>4268198.5299999993</v>
      </c>
      <c r="AC14" s="37">
        <f>SUM($I14:K14)</f>
        <v>4268198.5299999993</v>
      </c>
      <c r="AD14" s="37">
        <f>SUM($I14:N14)</f>
        <v>4268198.5299999993</v>
      </c>
      <c r="AE14" s="37">
        <f>SUM($I14:Q14)</f>
        <v>4268198.5299999993</v>
      </c>
      <c r="AF14" s="37">
        <f>SUM($I14:T14)</f>
        <v>4268198.5299999993</v>
      </c>
      <c r="AG14" s="37"/>
      <c r="AH14" s="37"/>
      <c r="AI14" s="46">
        <v>1110458.1199999996</v>
      </c>
      <c r="AJ14" s="46">
        <v>1248553.6599999999</v>
      </c>
      <c r="AK14" s="46">
        <v>1209022.2799999998</v>
      </c>
      <c r="AL14" s="46">
        <v>1204761.3700000001</v>
      </c>
      <c r="AM14" s="46">
        <v>1346608.6299999997</v>
      </c>
      <c r="AN14" s="46">
        <v>1292874.8900000001</v>
      </c>
      <c r="AO14" s="46">
        <v>1311066</v>
      </c>
      <c r="AP14" s="46">
        <v>1226938.6199999996</v>
      </c>
      <c r="AQ14" s="46">
        <v>1450733.98</v>
      </c>
      <c r="AR14" s="46">
        <v>1100293.3999999999</v>
      </c>
      <c r="AS14" s="46">
        <v>1266743.5499999998</v>
      </c>
      <c r="AT14" s="46">
        <v>1189766.69</v>
      </c>
      <c r="AU14" s="42">
        <f t="shared" si="6"/>
        <v>14957821.189999999</v>
      </c>
      <c r="AW14" s="37">
        <f t="shared" si="7"/>
        <v>3568034.0599999991</v>
      </c>
      <c r="AX14" s="37">
        <f t="shared" si="8"/>
        <v>3844244.89</v>
      </c>
      <c r="AY14" s="37">
        <f t="shared" si="9"/>
        <v>3988738.5999999996</v>
      </c>
      <c r="AZ14" s="37">
        <f t="shared" si="10"/>
        <v>3556803.6400000006</v>
      </c>
      <c r="BA14" s="42">
        <f t="shared" si="11"/>
        <v>37461184.619999997</v>
      </c>
      <c r="BC14" s="37">
        <f>SUM($AI14:AK14)</f>
        <v>3568034.0599999991</v>
      </c>
      <c r="BD14" s="37">
        <f>SUM($AI14:AN14)</f>
        <v>7412278.9499999993</v>
      </c>
      <c r="BE14" s="37">
        <f>SUM($AI14:AQ14)</f>
        <v>11401017.549999999</v>
      </c>
      <c r="BF14" s="37">
        <f>SUM($AI14:AT14)</f>
        <v>14957821.189999999</v>
      </c>
      <c r="BG14" s="37"/>
      <c r="BI14" s="37"/>
    </row>
    <row r="15" spans="2:61" x14ac:dyDescent="0.25">
      <c r="B15" s="7" t="s">
        <v>68</v>
      </c>
      <c r="C15" s="28" t="s">
        <v>144</v>
      </c>
      <c r="D15" t="s">
        <v>145</v>
      </c>
      <c r="E15" t="s">
        <v>146</v>
      </c>
      <c r="F15" s="28" t="s">
        <v>129</v>
      </c>
      <c r="G15" s="28" t="s">
        <v>130</v>
      </c>
      <c r="H15" s="37"/>
      <c r="I15" s="46">
        <v>1652811.0799999998</v>
      </c>
      <c r="J15" s="46">
        <v>1898684.3899999997</v>
      </c>
      <c r="K15" s="46">
        <v>1574887.39</v>
      </c>
      <c r="L15" s="46"/>
      <c r="M15" s="46"/>
      <c r="N15" s="46"/>
      <c r="O15" s="46"/>
      <c r="P15" s="46"/>
      <c r="Q15" s="46"/>
      <c r="R15" s="46"/>
      <c r="S15" s="46"/>
      <c r="T15" s="46"/>
      <c r="U15" s="42">
        <f t="shared" si="0"/>
        <v>5126382.8599999994</v>
      </c>
      <c r="W15" s="37">
        <f t="shared" si="1"/>
        <v>5126382.8599999994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42">
        <f t="shared" si="5"/>
        <v>5126382.8599999994</v>
      </c>
      <c r="AC15" s="37">
        <f>SUM($I15:K15)</f>
        <v>5126382.8599999994</v>
      </c>
      <c r="AD15" s="37">
        <f>SUM($I15:N15)</f>
        <v>5126382.8599999994</v>
      </c>
      <c r="AE15" s="37">
        <f>SUM($I15:Q15)</f>
        <v>5126382.8599999994</v>
      </c>
      <c r="AF15" s="37">
        <f>SUM($I15:T15)</f>
        <v>5126382.8599999994</v>
      </c>
      <c r="AG15" s="37"/>
      <c r="AH15" s="37"/>
      <c r="AI15" s="46">
        <v>1409703.74</v>
      </c>
      <c r="AJ15" s="46">
        <v>1710915.79</v>
      </c>
      <c r="AK15" s="46">
        <v>1574407.9200000002</v>
      </c>
      <c r="AL15" s="46">
        <v>1605025.02</v>
      </c>
      <c r="AM15" s="46">
        <v>1594038.1999999997</v>
      </c>
      <c r="AN15" s="46">
        <v>1573806.9399999997</v>
      </c>
      <c r="AO15" s="46">
        <v>1579723</v>
      </c>
      <c r="AP15" s="46">
        <v>1657961.92</v>
      </c>
      <c r="AQ15" s="46">
        <v>1585920.8699999996</v>
      </c>
      <c r="AR15" s="46">
        <v>1612975.25</v>
      </c>
      <c r="AS15" s="46">
        <v>1987272.7700000005</v>
      </c>
      <c r="AT15" s="46">
        <v>1637699.46</v>
      </c>
      <c r="AU15" s="42">
        <f t="shared" si="6"/>
        <v>19529450.879999999</v>
      </c>
      <c r="AW15" s="37">
        <f t="shared" si="7"/>
        <v>4695027.45</v>
      </c>
      <c r="AX15" s="37">
        <f t="shared" si="8"/>
        <v>4772870.1599999992</v>
      </c>
      <c r="AY15" s="37">
        <f t="shared" si="9"/>
        <v>4823605.7899999991</v>
      </c>
      <c r="AZ15" s="37">
        <f t="shared" si="10"/>
        <v>5237947.4800000004</v>
      </c>
      <c r="BA15" s="42">
        <f t="shared" si="11"/>
        <v>49120455.030000001</v>
      </c>
      <c r="BC15" s="37">
        <f>SUM($AI15:AK15)</f>
        <v>4695027.45</v>
      </c>
      <c r="BD15" s="37">
        <f>SUM($AI15:AN15)</f>
        <v>9467897.6099999994</v>
      </c>
      <c r="BE15" s="37">
        <f>SUM($AI15:AQ15)</f>
        <v>14291503.399999999</v>
      </c>
      <c r="BF15" s="37">
        <f>SUM($AI15:AT15)</f>
        <v>19529450.879999999</v>
      </c>
      <c r="BG15" s="37"/>
      <c r="BI15" s="37"/>
    </row>
    <row r="16" spans="2:61" x14ac:dyDescent="0.25">
      <c r="B16" s="7" t="s">
        <v>66</v>
      </c>
      <c r="C16" s="28">
        <v>1067</v>
      </c>
      <c r="D16" t="s">
        <v>147</v>
      </c>
      <c r="E16" t="s">
        <v>148</v>
      </c>
      <c r="F16" s="28" t="s">
        <v>129</v>
      </c>
      <c r="G16" s="28" t="s">
        <v>130</v>
      </c>
      <c r="H16" s="37"/>
      <c r="I16" s="46">
        <v>884392.39</v>
      </c>
      <c r="J16" s="46">
        <v>908423.32000000007</v>
      </c>
      <c r="K16" s="46">
        <v>1066101.55</v>
      </c>
      <c r="L16" s="46"/>
      <c r="M16" s="46"/>
      <c r="N16" s="46"/>
      <c r="O16" s="46"/>
      <c r="P16" s="46"/>
      <c r="Q16" s="46"/>
      <c r="R16" s="46"/>
      <c r="S16" s="46"/>
      <c r="T16" s="46"/>
      <c r="U16" s="42">
        <f t="shared" si="0"/>
        <v>2858917.26</v>
      </c>
      <c r="W16" s="37">
        <f t="shared" si="1"/>
        <v>2858917.26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42">
        <f t="shared" si="5"/>
        <v>2858917.26</v>
      </c>
      <c r="AC16" s="37">
        <f>SUM($I16:K16)</f>
        <v>2858917.26</v>
      </c>
      <c r="AD16" s="37">
        <f>SUM($I16:N16)</f>
        <v>2858917.26</v>
      </c>
      <c r="AE16" s="37">
        <f>SUM($I16:Q16)</f>
        <v>2858917.26</v>
      </c>
      <c r="AF16" s="37">
        <f>SUM($I16:T16)</f>
        <v>2858917.26</v>
      </c>
      <c r="AG16" s="37"/>
      <c r="AH16" s="37"/>
      <c r="AI16" s="46">
        <v>882054.51</v>
      </c>
      <c r="AJ16" s="46">
        <v>881744.16</v>
      </c>
      <c r="AK16" s="46">
        <v>961030.37</v>
      </c>
      <c r="AL16" s="46">
        <v>881752.75</v>
      </c>
      <c r="AM16" s="46">
        <v>881752.76</v>
      </c>
      <c r="AN16" s="46">
        <v>881752.76</v>
      </c>
      <c r="AO16" s="46">
        <v>881753</v>
      </c>
      <c r="AP16" s="46">
        <v>881752.76</v>
      </c>
      <c r="AQ16" s="46">
        <v>881752.76</v>
      </c>
      <c r="AR16" s="46">
        <v>932830.64</v>
      </c>
      <c r="AS16" s="46">
        <v>932830.64</v>
      </c>
      <c r="AT16" s="46">
        <v>1558046.6099999999</v>
      </c>
      <c r="AU16" s="42">
        <f t="shared" si="6"/>
        <v>11439053.719999999</v>
      </c>
      <c r="AW16" s="37">
        <f t="shared" si="7"/>
        <v>2724829.04</v>
      </c>
      <c r="AX16" s="37">
        <f t="shared" si="8"/>
        <v>2645258.2699999996</v>
      </c>
      <c r="AY16" s="37">
        <f t="shared" si="9"/>
        <v>2645258.5199999996</v>
      </c>
      <c r="AZ16" s="37">
        <f t="shared" si="10"/>
        <v>3423707.8899999997</v>
      </c>
      <c r="BA16" s="42">
        <f t="shared" si="11"/>
        <v>28947073.849999998</v>
      </c>
      <c r="BC16" s="37">
        <f>SUM($AI16:AK16)</f>
        <v>2724829.04</v>
      </c>
      <c r="BD16" s="37">
        <f>SUM($AI16:AN16)</f>
        <v>5370087.3099999996</v>
      </c>
      <c r="BE16" s="37">
        <f>SUM($AI16:AQ16)</f>
        <v>8015345.8299999991</v>
      </c>
      <c r="BF16" s="37">
        <f>SUM($AI16:AT16)</f>
        <v>11439053.719999999</v>
      </c>
      <c r="BG16" s="37"/>
      <c r="BI16" s="37"/>
    </row>
    <row r="17" spans="2:61" x14ac:dyDescent="0.25">
      <c r="B17" s="7" t="s">
        <v>63</v>
      </c>
      <c r="C17" s="28">
        <v>1068</v>
      </c>
      <c r="D17" t="s">
        <v>149</v>
      </c>
      <c r="E17" t="s">
        <v>150</v>
      </c>
      <c r="F17" s="28" t="s">
        <v>151</v>
      </c>
      <c r="G17" s="28" t="s">
        <v>130</v>
      </c>
      <c r="H17" s="37"/>
      <c r="I17" s="46">
        <v>1756780.95</v>
      </c>
      <c r="J17" s="46">
        <v>1756266.53</v>
      </c>
      <c r="K17" s="46">
        <v>1756311.4</v>
      </c>
      <c r="L17" s="46"/>
      <c r="M17" s="46"/>
      <c r="N17" s="46"/>
      <c r="O17" s="46"/>
      <c r="P17" s="46"/>
      <c r="Q17" s="46"/>
      <c r="R17" s="46"/>
      <c r="S17" s="46"/>
      <c r="T17" s="46"/>
      <c r="U17" s="42">
        <f t="shared" si="0"/>
        <v>5269358.88</v>
      </c>
      <c r="W17" s="37">
        <f t="shared" si="1"/>
        <v>5269358.88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42">
        <f t="shared" si="5"/>
        <v>5269358.88</v>
      </c>
      <c r="AC17" s="37">
        <f>SUM($I17:K17)</f>
        <v>5269358.88</v>
      </c>
      <c r="AD17" s="37">
        <f>SUM($I17:N17)</f>
        <v>5269358.88</v>
      </c>
      <c r="AE17" s="37">
        <f>SUM($I17:Q17)</f>
        <v>5269358.88</v>
      </c>
      <c r="AF17" s="37">
        <f>SUM($I17:T17)</f>
        <v>5269358.88</v>
      </c>
      <c r="AG17" s="37"/>
      <c r="AH17" s="37"/>
      <c r="AI17" s="46">
        <v>1675413.9000000001</v>
      </c>
      <c r="AJ17" s="46">
        <v>1676300.73</v>
      </c>
      <c r="AK17" s="46">
        <v>1676321.34</v>
      </c>
      <c r="AL17" s="46">
        <v>1676321.34</v>
      </c>
      <c r="AM17" s="46">
        <v>1756780.9471999998</v>
      </c>
      <c r="AN17" s="46">
        <v>1756780.9471999998</v>
      </c>
      <c r="AO17" s="46">
        <v>1756781</v>
      </c>
      <c r="AP17" s="46">
        <v>1756780.9471999998</v>
      </c>
      <c r="AQ17" s="46">
        <v>1756780.9471999998</v>
      </c>
      <c r="AR17" s="46">
        <v>1756780.9471999998</v>
      </c>
      <c r="AS17" s="46">
        <v>1756780.9471999998</v>
      </c>
      <c r="AT17" s="46">
        <v>1756780.9471999998</v>
      </c>
      <c r="AU17" s="42">
        <f t="shared" si="6"/>
        <v>20758604.940400001</v>
      </c>
      <c r="AW17" s="37">
        <f t="shared" si="7"/>
        <v>5028035.97</v>
      </c>
      <c r="AX17" s="37">
        <f t="shared" si="8"/>
        <v>5189883.2343999995</v>
      </c>
      <c r="AY17" s="37">
        <f t="shared" si="9"/>
        <v>5270342.8944000006</v>
      </c>
      <c r="AZ17" s="37">
        <f t="shared" si="10"/>
        <v>5270342.8416000009</v>
      </c>
      <c r="BA17" s="42">
        <f t="shared" si="11"/>
        <v>52057895.616799995</v>
      </c>
      <c r="BC17" s="37">
        <f>SUM($AI17:AK17)</f>
        <v>5028035.97</v>
      </c>
      <c r="BD17" s="37">
        <f>SUM($AI17:AN17)</f>
        <v>10217919.204399999</v>
      </c>
      <c r="BE17" s="37">
        <f>SUM($AI17:AQ17)</f>
        <v>15488262.0988</v>
      </c>
      <c r="BF17" s="37">
        <f>SUM($AI17:AT17)</f>
        <v>20758604.940400001</v>
      </c>
      <c r="BG17" s="37"/>
      <c r="BI17" s="37"/>
    </row>
    <row r="18" spans="2:61" x14ac:dyDescent="0.25">
      <c r="B18" s="7" t="s">
        <v>53</v>
      </c>
      <c r="C18" s="28">
        <v>929</v>
      </c>
      <c r="D18" t="s">
        <v>152</v>
      </c>
      <c r="E18" t="s">
        <v>54</v>
      </c>
      <c r="F18" s="28" t="s">
        <v>151</v>
      </c>
      <c r="G18" s="28" t="s">
        <v>130</v>
      </c>
      <c r="H18" s="37"/>
      <c r="I18" s="46">
        <v>5786496.3389655147</v>
      </c>
      <c r="J18" s="46">
        <v>4643295.9700000007</v>
      </c>
      <c r="K18" s="46">
        <v>4795940.4282758608</v>
      </c>
      <c r="L18" s="46"/>
      <c r="M18" s="46"/>
      <c r="N18" s="46"/>
      <c r="O18" s="46"/>
      <c r="P18" s="46"/>
      <c r="Q18" s="46"/>
      <c r="R18" s="46"/>
      <c r="S18" s="46"/>
      <c r="T18" s="46"/>
      <c r="U18" s="42">
        <f t="shared" si="0"/>
        <v>15225732.737241376</v>
      </c>
      <c r="W18" s="37">
        <f t="shared" si="1"/>
        <v>15225732.737241376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42">
        <f t="shared" si="5"/>
        <v>15225732.737241376</v>
      </c>
      <c r="AC18" s="37">
        <f>SUM($I18:K18)</f>
        <v>15225732.737241376</v>
      </c>
      <c r="AD18" s="37">
        <f>SUM($I18:N18)</f>
        <v>15225732.737241376</v>
      </c>
      <c r="AE18" s="37">
        <f>SUM($I18:Q18)</f>
        <v>15225732.737241376</v>
      </c>
      <c r="AF18" s="37">
        <f>SUM($I18:T18)</f>
        <v>15225732.737241376</v>
      </c>
      <c r="AG18" s="37"/>
      <c r="AH18" s="37"/>
      <c r="AI18" s="46">
        <v>4789595.4200000009</v>
      </c>
      <c r="AJ18" s="46">
        <v>4533513.4700000025</v>
      </c>
      <c r="AK18" s="46">
        <v>4311482.6800000016</v>
      </c>
      <c r="AL18" s="46">
        <v>4606184.5200000014</v>
      </c>
      <c r="AM18" s="46">
        <v>4191739.0557568846</v>
      </c>
      <c r="AN18" s="46">
        <v>4744999.7133619199</v>
      </c>
      <c r="AO18" s="46">
        <v>4635175</v>
      </c>
      <c r="AP18" s="46">
        <v>5179128.1300000008</v>
      </c>
      <c r="AQ18" s="46">
        <v>4857594.9745499846</v>
      </c>
      <c r="AR18" s="46">
        <v>4655207.07</v>
      </c>
      <c r="AS18" s="46">
        <v>5117458.5900000008</v>
      </c>
      <c r="AT18" s="46">
        <v>5471939.9500000011</v>
      </c>
      <c r="AU18" s="42">
        <f t="shared" si="6"/>
        <v>57094018.573668808</v>
      </c>
      <c r="AW18" s="37">
        <f t="shared" si="7"/>
        <v>13634591.570000006</v>
      </c>
      <c r="AX18" s="37">
        <f t="shared" si="8"/>
        <v>13542923.289118806</v>
      </c>
      <c r="AY18" s="37">
        <f t="shared" si="9"/>
        <v>14671898.104549989</v>
      </c>
      <c r="AZ18" s="37">
        <f t="shared" si="10"/>
        <v>15244605.610000007</v>
      </c>
      <c r="BA18" s="42">
        <f t="shared" si="11"/>
        <v>144104540.8618876</v>
      </c>
      <c r="BC18" s="37">
        <f>SUM($AI18:AK18)</f>
        <v>13634591.570000006</v>
      </c>
      <c r="BD18" s="37">
        <f>SUM($AI18:AN18)</f>
        <v>27177514.859118812</v>
      </c>
      <c r="BE18" s="37">
        <f>SUM($AI18:AQ18)</f>
        <v>41849412.963668801</v>
      </c>
      <c r="BF18" s="37">
        <f>SUM($AI18:AT18)</f>
        <v>57094018.573668808</v>
      </c>
      <c r="BG18" s="37"/>
      <c r="BI18" s="37"/>
    </row>
    <row r="19" spans="2:61" x14ac:dyDescent="0.25">
      <c r="B19" s="7" t="s">
        <v>155</v>
      </c>
      <c r="C19" s="28">
        <v>979</v>
      </c>
      <c r="D19" t="s">
        <v>156</v>
      </c>
      <c r="E19" t="s">
        <v>157</v>
      </c>
      <c r="F19" s="28" t="s">
        <v>129</v>
      </c>
      <c r="G19" s="28" t="s">
        <v>158</v>
      </c>
      <c r="H19" s="37"/>
      <c r="I19" s="46">
        <v>0</v>
      </c>
      <c r="J19" s="46">
        <v>0</v>
      </c>
      <c r="K19" s="46">
        <v>0</v>
      </c>
      <c r="L19" s="46"/>
      <c r="M19" s="46"/>
      <c r="N19" s="46"/>
      <c r="O19" s="46"/>
      <c r="P19" s="46"/>
      <c r="Q19" s="46"/>
      <c r="R19" s="46"/>
      <c r="S19" s="46"/>
      <c r="T19" s="46"/>
      <c r="U19" s="42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42">
        <f t="shared" si="5"/>
        <v>0</v>
      </c>
      <c r="AC19" s="37">
        <f>SUM($I19:K19)</f>
        <v>0</v>
      </c>
      <c r="AD19" s="37">
        <f>SUM($I19:N19)</f>
        <v>0</v>
      </c>
      <c r="AE19" s="37">
        <f>SUM($I19:Q19)</f>
        <v>0</v>
      </c>
      <c r="AF19" s="37">
        <f>SUM($I19:T19)</f>
        <v>0</v>
      </c>
      <c r="AG19" s="37"/>
      <c r="AH19" s="37"/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2">
        <f t="shared" si="6"/>
        <v>0</v>
      </c>
      <c r="AW19" s="37">
        <f t="shared" si="7"/>
        <v>0</v>
      </c>
      <c r="AX19" s="37">
        <f t="shared" si="8"/>
        <v>0</v>
      </c>
      <c r="AY19" s="37">
        <f t="shared" si="9"/>
        <v>0</v>
      </c>
      <c r="AZ19" s="37">
        <f t="shared" si="10"/>
        <v>0</v>
      </c>
      <c r="BA19" s="42">
        <f t="shared" si="11"/>
        <v>0</v>
      </c>
      <c r="BC19" s="37">
        <f>SUM($AI19:AK19)</f>
        <v>0</v>
      </c>
      <c r="BD19" s="37">
        <f>SUM($AI19:AN19)</f>
        <v>0</v>
      </c>
      <c r="BE19" s="37">
        <f>SUM($AI19:AQ19)</f>
        <v>0</v>
      </c>
      <c r="BF19" s="37">
        <f>SUM($AI19:AT19)</f>
        <v>0</v>
      </c>
      <c r="BG19" s="37"/>
      <c r="BI19" s="37"/>
    </row>
    <row r="20" spans="2:61" x14ac:dyDescent="0.25">
      <c r="B20" s="7" t="s">
        <v>78</v>
      </c>
      <c r="C20" s="28">
        <v>1069</v>
      </c>
      <c r="D20" t="s">
        <v>159</v>
      </c>
      <c r="E20" t="s">
        <v>160</v>
      </c>
      <c r="F20" s="28" t="s">
        <v>129</v>
      </c>
      <c r="G20" s="28" t="s">
        <v>161</v>
      </c>
      <c r="H20" s="37"/>
      <c r="I20" s="46">
        <v>2622992.545722181</v>
      </c>
      <c r="J20" s="46">
        <v>2838568.5861065816</v>
      </c>
      <c r="K20" s="46">
        <v>2538488.2419239744</v>
      </c>
      <c r="L20" s="46"/>
      <c r="M20" s="46"/>
      <c r="N20" s="46"/>
      <c r="O20" s="46"/>
      <c r="P20" s="46"/>
      <c r="Q20" s="46"/>
      <c r="R20" s="46"/>
      <c r="S20" s="46"/>
      <c r="T20" s="46"/>
      <c r="U20" s="42">
        <f t="shared" si="0"/>
        <v>8000049.3737527374</v>
      </c>
      <c r="W20" s="37">
        <f t="shared" si="1"/>
        <v>8000049.3737527374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42">
        <f t="shared" si="5"/>
        <v>8000049.3737527374</v>
      </c>
      <c r="AC20" s="37">
        <f>SUM($I20:K20)</f>
        <v>8000049.3737527374</v>
      </c>
      <c r="AD20" s="37">
        <f>SUM($I20:N20)</f>
        <v>8000049.3737527374</v>
      </c>
      <c r="AE20" s="37">
        <f>SUM($I20:Q20)</f>
        <v>8000049.3737527374</v>
      </c>
      <c r="AF20" s="37">
        <f>SUM($I20:T20)</f>
        <v>8000049.3737527374</v>
      </c>
      <c r="AG20" s="37"/>
      <c r="AH20" s="37"/>
      <c r="AI20" s="46">
        <v>2116319.1093992004</v>
      </c>
      <c r="AJ20" s="46">
        <v>2094249.6594357826</v>
      </c>
      <c r="AK20" s="46">
        <v>2176352.84</v>
      </c>
      <c r="AL20" s="46">
        <v>2028976.28</v>
      </c>
      <c r="AM20" s="46">
        <v>2265365.8914122954</v>
      </c>
      <c r="AN20" s="46">
        <v>2177976.62</v>
      </c>
      <c r="AO20" s="46">
        <v>2446280</v>
      </c>
      <c r="AP20" s="46">
        <v>2904941.665689657</v>
      </c>
      <c r="AQ20" s="46">
        <v>2789195.2800000003</v>
      </c>
      <c r="AR20" s="46">
        <v>2918351.9547232375</v>
      </c>
      <c r="AS20" s="46">
        <v>2776666.27</v>
      </c>
      <c r="AT20" s="46">
        <v>2663701.5923222369</v>
      </c>
      <c r="AU20" s="42">
        <f t="shared" si="6"/>
        <v>29358377.162982415</v>
      </c>
      <c r="AW20" s="37">
        <f t="shared" si="7"/>
        <v>6386921.6088349828</v>
      </c>
      <c r="AX20" s="37">
        <f t="shared" si="8"/>
        <v>6472318.7914122967</v>
      </c>
      <c r="AY20" s="37">
        <f t="shared" si="9"/>
        <v>8140416.9456896596</v>
      </c>
      <c r="AZ20" s="37">
        <f t="shared" si="10"/>
        <v>8358719.8170454763</v>
      </c>
      <c r="BA20" s="42">
        <f t="shared" si="11"/>
        <v>75215891.088699967</v>
      </c>
      <c r="BC20" s="37">
        <f>SUM($AI20:AK20)</f>
        <v>6386921.6088349828</v>
      </c>
      <c r="BD20" s="37">
        <f>SUM($AI20:AN20)</f>
        <v>12859240.40024728</v>
      </c>
      <c r="BE20" s="37">
        <f>SUM($AI20:AQ20)</f>
        <v>20999657.345936939</v>
      </c>
      <c r="BF20" s="37">
        <f>SUM($AI20:AT20)</f>
        <v>29358377.162982415</v>
      </c>
      <c r="BG20" s="37"/>
      <c r="BI20" s="37"/>
    </row>
    <row r="21" spans="2:61" x14ac:dyDescent="0.25">
      <c r="B21" s="7" t="s">
        <v>81</v>
      </c>
      <c r="C21" s="28">
        <v>930</v>
      </c>
      <c r="D21" t="s">
        <v>162</v>
      </c>
      <c r="E21" t="s">
        <v>163</v>
      </c>
      <c r="F21" s="28" t="s">
        <v>129</v>
      </c>
      <c r="G21" s="28" t="s">
        <v>161</v>
      </c>
      <c r="H21" s="37"/>
      <c r="I21" s="46">
        <v>1800857.9599999997</v>
      </c>
      <c r="J21" s="46">
        <v>1817010.0400000003</v>
      </c>
      <c r="K21" s="46">
        <v>1498724.25</v>
      </c>
      <c r="L21" s="46"/>
      <c r="M21" s="46"/>
      <c r="N21" s="46"/>
      <c r="O21" s="46"/>
      <c r="P21" s="46"/>
      <c r="Q21" s="46"/>
      <c r="R21" s="46"/>
      <c r="S21" s="46"/>
      <c r="T21" s="46"/>
      <c r="U21" s="42">
        <f t="shared" si="0"/>
        <v>5116592.25</v>
      </c>
      <c r="W21" s="37">
        <f t="shared" si="1"/>
        <v>5116592.25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42">
        <f t="shared" si="5"/>
        <v>5116592.25</v>
      </c>
      <c r="AC21" s="37">
        <f>SUM($I21:K21)</f>
        <v>5116592.25</v>
      </c>
      <c r="AD21" s="37">
        <f>SUM($I21:N21)</f>
        <v>5116592.25</v>
      </c>
      <c r="AE21" s="37">
        <f>SUM($I21:Q21)</f>
        <v>5116592.25</v>
      </c>
      <c r="AF21" s="37">
        <f>SUM($I21:T21)</f>
        <v>5116592.25</v>
      </c>
      <c r="AG21" s="37"/>
      <c r="AH21" s="37"/>
      <c r="AI21" s="46">
        <v>1277677.0399999998</v>
      </c>
      <c r="AJ21" s="46">
        <v>1436198.5900000003</v>
      </c>
      <c r="AK21" s="46">
        <v>1357126.96</v>
      </c>
      <c r="AL21" s="46">
        <v>1317545.1900000002</v>
      </c>
      <c r="AM21" s="46">
        <v>1374862.9</v>
      </c>
      <c r="AN21" s="46">
        <v>1492241.9899999998</v>
      </c>
      <c r="AO21" s="46">
        <v>1509761.7799999998</v>
      </c>
      <c r="AP21" s="46">
        <v>1529304.39</v>
      </c>
      <c r="AQ21" s="46">
        <v>1703559.9900000002</v>
      </c>
      <c r="AR21" s="46">
        <v>1934716.6199999999</v>
      </c>
      <c r="AS21" s="46">
        <v>1676188.1899999992</v>
      </c>
      <c r="AT21" s="46">
        <v>1813832.2199999997</v>
      </c>
      <c r="AU21" s="42">
        <f t="shared" si="6"/>
        <v>18423015.859999999</v>
      </c>
      <c r="AW21" s="37">
        <f t="shared" si="7"/>
        <v>4071002.59</v>
      </c>
      <c r="AX21" s="37">
        <f t="shared" si="8"/>
        <v>4184650.08</v>
      </c>
      <c r="AY21" s="37">
        <f t="shared" si="9"/>
        <v>4742626.16</v>
      </c>
      <c r="AZ21" s="37">
        <f t="shared" si="10"/>
        <v>5424737.0299999993</v>
      </c>
      <c r="BA21" s="42">
        <f t="shared" si="11"/>
        <v>47013394.909999996</v>
      </c>
      <c r="BC21" s="37">
        <f>SUM($AI21:AK21)</f>
        <v>4071002.59</v>
      </c>
      <c r="BD21" s="37">
        <f>SUM($AI21:AN21)</f>
        <v>8255652.6699999999</v>
      </c>
      <c r="BE21" s="37">
        <f>SUM($AI21:AQ21)</f>
        <v>12998278.83</v>
      </c>
      <c r="BF21" s="37">
        <f>SUM($AI21:AT21)</f>
        <v>18423015.859999999</v>
      </c>
      <c r="BG21" s="37"/>
      <c r="BI21" s="37"/>
    </row>
    <row r="22" spans="2:61" x14ac:dyDescent="0.25">
      <c r="B22" s="7" t="s">
        <v>87</v>
      </c>
      <c r="C22" s="28">
        <v>936</v>
      </c>
      <c r="D22" t="s">
        <v>164</v>
      </c>
      <c r="E22" t="s">
        <v>165</v>
      </c>
      <c r="F22" s="28" t="s">
        <v>129</v>
      </c>
      <c r="G22" s="28" t="s">
        <v>161</v>
      </c>
      <c r="H22" s="37"/>
      <c r="I22" s="46">
        <v>591087.50000000035</v>
      </c>
      <c r="J22" s="46">
        <v>525159.30000000005</v>
      </c>
      <c r="K22" s="46">
        <v>889055.74000000034</v>
      </c>
      <c r="L22" s="46"/>
      <c r="M22" s="46"/>
      <c r="N22" s="46"/>
      <c r="O22" s="46"/>
      <c r="P22" s="46"/>
      <c r="Q22" s="46"/>
      <c r="R22" s="46"/>
      <c r="S22" s="46"/>
      <c r="T22" s="46"/>
      <c r="U22" s="42">
        <f t="shared" si="0"/>
        <v>2005302.5400000005</v>
      </c>
      <c r="W22" s="37">
        <f t="shared" si="1"/>
        <v>2005302.5400000005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42">
        <f t="shared" si="5"/>
        <v>2005302.5400000005</v>
      </c>
      <c r="AC22" s="37">
        <f>SUM($I22:K22)</f>
        <v>2005302.5400000005</v>
      </c>
      <c r="AD22" s="37">
        <f>SUM($I22:N22)</f>
        <v>2005302.5400000005</v>
      </c>
      <c r="AE22" s="37">
        <f>SUM($I22:Q22)</f>
        <v>2005302.5400000005</v>
      </c>
      <c r="AF22" s="37">
        <f>SUM($I22:T22)</f>
        <v>2005302.5400000005</v>
      </c>
      <c r="AG22" s="37"/>
      <c r="AH22" s="37"/>
      <c r="AI22" s="46">
        <v>440955.37999999989</v>
      </c>
      <c r="AJ22" s="46">
        <v>344455.9600000002</v>
      </c>
      <c r="AK22" s="46">
        <v>724870.8200000003</v>
      </c>
      <c r="AL22" s="46">
        <v>751279.53000000014</v>
      </c>
      <c r="AM22" s="46">
        <v>786849.45000000019</v>
      </c>
      <c r="AN22" s="46">
        <v>582554.78000000026</v>
      </c>
      <c r="AO22" s="46">
        <v>765044</v>
      </c>
      <c r="AP22" s="46">
        <v>841677.06000000017</v>
      </c>
      <c r="AQ22" s="46">
        <v>1190672.9900000002</v>
      </c>
      <c r="AR22" s="46">
        <v>711902.19000000006</v>
      </c>
      <c r="AS22" s="46">
        <v>951217.93000000017</v>
      </c>
      <c r="AT22" s="46">
        <v>592925.53000000026</v>
      </c>
      <c r="AU22" s="42">
        <f t="shared" si="6"/>
        <v>8684405.620000001</v>
      </c>
      <c r="AW22" s="37">
        <f t="shared" si="7"/>
        <v>1510282.1600000004</v>
      </c>
      <c r="AX22" s="37">
        <f t="shared" si="8"/>
        <v>2120683.7600000007</v>
      </c>
      <c r="AY22" s="37">
        <f t="shared" si="9"/>
        <v>2797394.0500000007</v>
      </c>
      <c r="AZ22" s="37">
        <f t="shared" si="10"/>
        <v>2256045.6499999994</v>
      </c>
      <c r="BA22" s="42">
        <f t="shared" si="11"/>
        <v>22422250.940000001</v>
      </c>
      <c r="BC22" s="37">
        <f>SUM($AI22:AK22)</f>
        <v>1510282.1600000004</v>
      </c>
      <c r="BD22" s="37">
        <f>SUM($AI22:AN22)</f>
        <v>3630965.9200000009</v>
      </c>
      <c r="BE22" s="37">
        <f>SUM($AI22:AQ22)</f>
        <v>6428359.9700000016</v>
      </c>
      <c r="BF22" s="37">
        <f>SUM($AI22:AT22)</f>
        <v>8684405.620000001</v>
      </c>
      <c r="BG22" s="37"/>
      <c r="BI22" s="37"/>
    </row>
    <row r="23" spans="2:61" x14ac:dyDescent="0.25">
      <c r="B23" s="7"/>
      <c r="C23" s="28">
        <v>980</v>
      </c>
      <c r="D23" t="s">
        <v>166</v>
      </c>
      <c r="E23" t="s">
        <v>167</v>
      </c>
      <c r="F23" s="28" t="s">
        <v>129</v>
      </c>
      <c r="G23" s="28" t="s">
        <v>168</v>
      </c>
      <c r="H23" s="37"/>
      <c r="I23" s="46">
        <v>0</v>
      </c>
      <c r="J23" s="46">
        <v>0</v>
      </c>
      <c r="K23" s="46">
        <v>0</v>
      </c>
      <c r="L23" s="46"/>
      <c r="M23" s="46"/>
      <c r="N23" s="46"/>
      <c r="O23" s="46"/>
      <c r="P23" s="46"/>
      <c r="Q23" s="46"/>
      <c r="R23" s="46"/>
      <c r="S23" s="46"/>
      <c r="T23" s="46"/>
      <c r="U23" s="42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42">
        <f t="shared" si="5"/>
        <v>0</v>
      </c>
      <c r="AC23" s="37">
        <f>SUM($I23:K23)</f>
        <v>0</v>
      </c>
      <c r="AD23" s="37">
        <f>SUM($I23:N23)</f>
        <v>0</v>
      </c>
      <c r="AE23" s="37">
        <f>SUM($I23:Q23)</f>
        <v>0</v>
      </c>
      <c r="AF23" s="37">
        <f>SUM($I23:T23)</f>
        <v>0</v>
      </c>
      <c r="AG23" s="37"/>
      <c r="AH23" s="37"/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2">
        <f t="shared" si="6"/>
        <v>0</v>
      </c>
      <c r="AW23" s="37">
        <f t="shared" si="7"/>
        <v>0</v>
      </c>
      <c r="AX23" s="37">
        <f t="shared" si="8"/>
        <v>0</v>
      </c>
      <c r="AY23" s="37">
        <f t="shared" si="9"/>
        <v>0</v>
      </c>
      <c r="AZ23" s="37">
        <f t="shared" si="10"/>
        <v>0</v>
      </c>
      <c r="BA23" s="42">
        <f t="shared" si="11"/>
        <v>0</v>
      </c>
      <c r="BC23" s="37">
        <f>SUM($AI23:AK23)</f>
        <v>0</v>
      </c>
      <c r="BD23" s="37">
        <f>SUM($AI23:AN23)</f>
        <v>0</v>
      </c>
      <c r="BE23" s="37">
        <f>SUM($AI23:AQ23)</f>
        <v>0</v>
      </c>
      <c r="BF23" s="37">
        <f>SUM($AI23:AT23)</f>
        <v>0</v>
      </c>
      <c r="BG23" s="37"/>
      <c r="BI23" s="37"/>
    </row>
    <row r="24" spans="2:61" x14ac:dyDescent="0.25">
      <c r="B24" s="7" t="s">
        <v>89</v>
      </c>
      <c r="C24" s="28">
        <v>981</v>
      </c>
      <c r="D24" t="s">
        <v>169</v>
      </c>
      <c r="E24" t="s">
        <v>170</v>
      </c>
      <c r="F24" s="28" t="s">
        <v>129</v>
      </c>
      <c r="G24" s="28" t="s">
        <v>161</v>
      </c>
      <c r="H24" s="37"/>
      <c r="I24" s="46">
        <v>5121049.6999999983</v>
      </c>
      <c r="J24" s="46">
        <v>5205725.2199999988</v>
      </c>
      <c r="K24" s="46">
        <v>5352487.7536971457</v>
      </c>
      <c r="L24" s="46"/>
      <c r="M24" s="46"/>
      <c r="N24" s="46"/>
      <c r="O24" s="46"/>
      <c r="P24" s="46"/>
      <c r="Q24" s="46"/>
      <c r="R24" s="46"/>
      <c r="S24" s="46"/>
      <c r="T24" s="46"/>
      <c r="U24" s="42">
        <f t="shared" si="0"/>
        <v>15679262.673697144</v>
      </c>
      <c r="W24" s="37">
        <f t="shared" si="1"/>
        <v>15679262.673697144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42">
        <f t="shared" si="5"/>
        <v>15679262.673697144</v>
      </c>
      <c r="AC24" s="37">
        <f>SUM($I24:K24)</f>
        <v>15679262.673697144</v>
      </c>
      <c r="AD24" s="37">
        <f>SUM($I24:N24)</f>
        <v>15679262.673697144</v>
      </c>
      <c r="AE24" s="37">
        <f>SUM($I24:Q24)</f>
        <v>15679262.673697144</v>
      </c>
      <c r="AF24" s="37">
        <f>SUM($I24:T24)</f>
        <v>15679262.673697144</v>
      </c>
      <c r="AG24" s="37"/>
      <c r="AH24" s="37"/>
      <c r="AI24" s="46">
        <v>4289236.4850793099</v>
      </c>
      <c r="AJ24" s="46">
        <v>4252843.0200000014</v>
      </c>
      <c r="AK24" s="46">
        <v>4181129.6899999995</v>
      </c>
      <c r="AL24" s="46">
        <v>4447826.7306802506</v>
      </c>
      <c r="AM24" s="46">
        <v>4062051.0599999996</v>
      </c>
      <c r="AN24" s="46">
        <v>4351717.0699999975</v>
      </c>
      <c r="AO24" s="46">
        <v>4488600</v>
      </c>
      <c r="AP24" s="46">
        <v>5086036.6700000009</v>
      </c>
      <c r="AQ24" s="46">
        <v>4620757.330000001</v>
      </c>
      <c r="AR24" s="46">
        <v>5131241.87</v>
      </c>
      <c r="AS24" s="46">
        <v>4930766.3500000006</v>
      </c>
      <c r="AT24" s="46">
        <v>5522755.4299999988</v>
      </c>
      <c r="AU24" s="42">
        <f t="shared" si="6"/>
        <v>55364961.705759555</v>
      </c>
      <c r="AW24" s="37">
        <f t="shared" si="7"/>
        <v>12723209.19507931</v>
      </c>
      <c r="AX24" s="37">
        <f t="shared" si="8"/>
        <v>12861594.860680247</v>
      </c>
      <c r="AY24" s="37">
        <f t="shared" si="9"/>
        <v>14195394</v>
      </c>
      <c r="AZ24" s="37">
        <f t="shared" si="10"/>
        <v>15584763.649999999</v>
      </c>
      <c r="BA24" s="42">
        <f t="shared" si="11"/>
        <v>140510081.06151912</v>
      </c>
      <c r="BC24" s="37">
        <f>SUM($AI24:AK24)</f>
        <v>12723209.19507931</v>
      </c>
      <c r="BD24" s="37">
        <f>SUM($AI24:AN24)</f>
        <v>25584804.055759557</v>
      </c>
      <c r="BE24" s="37">
        <f>SUM($AI24:AQ24)</f>
        <v>39780198.055759557</v>
      </c>
      <c r="BF24" s="37">
        <f>SUM($AI24:AT24)</f>
        <v>55364961.705759555</v>
      </c>
      <c r="BG24" s="37"/>
      <c r="BI24" s="37"/>
    </row>
    <row r="25" spans="2:61" x14ac:dyDescent="0.25">
      <c r="B25" s="7" t="s">
        <v>171</v>
      </c>
      <c r="C25" s="28">
        <v>928</v>
      </c>
      <c r="D25" t="s">
        <v>172</v>
      </c>
      <c r="E25" t="s">
        <v>146</v>
      </c>
      <c r="F25" s="28" t="s">
        <v>129</v>
      </c>
      <c r="G25" s="28" t="s">
        <v>158</v>
      </c>
      <c r="H25" s="37"/>
      <c r="I25" s="46">
        <v>0</v>
      </c>
      <c r="J25" s="46">
        <v>0</v>
      </c>
      <c r="K25" s="46">
        <v>0</v>
      </c>
      <c r="L25" s="46"/>
      <c r="M25" s="46"/>
      <c r="N25" s="46"/>
      <c r="O25" s="46"/>
      <c r="P25" s="46"/>
      <c r="Q25" s="46"/>
      <c r="R25" s="46"/>
      <c r="S25" s="46"/>
      <c r="T25" s="46"/>
      <c r="U25" s="42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42">
        <f t="shared" si="5"/>
        <v>0</v>
      </c>
      <c r="AC25" s="37">
        <f>SUM($I25:K25)</f>
        <v>0</v>
      </c>
      <c r="AD25" s="37">
        <f>SUM($I25:N25)</f>
        <v>0</v>
      </c>
      <c r="AE25" s="37">
        <f>SUM($I25:Q25)</f>
        <v>0</v>
      </c>
      <c r="AF25" s="37">
        <f>SUM($I25:T25)</f>
        <v>0</v>
      </c>
      <c r="AG25" s="37"/>
      <c r="AH25" s="37"/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2">
        <f t="shared" si="6"/>
        <v>0</v>
      </c>
      <c r="AW25" s="37">
        <f t="shared" si="7"/>
        <v>0</v>
      </c>
      <c r="AX25" s="37">
        <f t="shared" si="8"/>
        <v>0</v>
      </c>
      <c r="AY25" s="37">
        <f t="shared" si="9"/>
        <v>0</v>
      </c>
      <c r="AZ25" s="37">
        <f t="shared" si="10"/>
        <v>0</v>
      </c>
      <c r="BA25" s="42">
        <f t="shared" si="11"/>
        <v>0</v>
      </c>
      <c r="BC25" s="37">
        <f>SUM($AI25:AK25)</f>
        <v>0</v>
      </c>
      <c r="BD25" s="37">
        <f>SUM($AI25:AN25)</f>
        <v>0</v>
      </c>
      <c r="BE25" s="37">
        <f>SUM($AI25:AQ25)</f>
        <v>0</v>
      </c>
      <c r="BF25" s="37">
        <f>SUM($AI25:AT25)</f>
        <v>0</v>
      </c>
      <c r="BG25" s="37"/>
      <c r="BI25" s="37"/>
    </row>
    <row r="26" spans="2:61" x14ac:dyDescent="0.25">
      <c r="B26" s="7" t="s">
        <v>73</v>
      </c>
      <c r="C26" s="28">
        <v>2100</v>
      </c>
      <c r="D26" t="s">
        <v>240</v>
      </c>
      <c r="E26" t="s">
        <v>154</v>
      </c>
      <c r="F26" s="28" t="s">
        <v>129</v>
      </c>
      <c r="G26" s="28" t="s">
        <v>130</v>
      </c>
      <c r="H26" s="37"/>
      <c r="I26" s="46">
        <v>992190.5266666665</v>
      </c>
      <c r="J26" s="46">
        <v>1045909.1766666666</v>
      </c>
      <c r="K26" s="46">
        <v>1188044.8666666667</v>
      </c>
      <c r="L26" s="46"/>
      <c r="M26" s="46"/>
      <c r="N26" s="46"/>
      <c r="O26" s="46"/>
      <c r="P26" s="46"/>
      <c r="Q26" s="46"/>
      <c r="R26" s="46"/>
      <c r="S26" s="46"/>
      <c r="T26" s="46"/>
      <c r="U26" s="42">
        <f t="shared" si="0"/>
        <v>3226144.57</v>
      </c>
      <c r="W26" s="37">
        <f t="shared" si="1"/>
        <v>3226144.57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42">
        <f t="shared" si="5"/>
        <v>3226144.57</v>
      </c>
      <c r="AC26" s="37">
        <f>SUM($I26:K26)</f>
        <v>3226144.57</v>
      </c>
      <c r="AD26" s="37">
        <f>SUM($I26:N26)</f>
        <v>3226144.57</v>
      </c>
      <c r="AE26" s="37">
        <f>SUM($I26:Q26)</f>
        <v>3226144.57</v>
      </c>
      <c r="AF26" s="37">
        <f>SUM($I26:T26)</f>
        <v>3226144.57</v>
      </c>
      <c r="AG26" s="37"/>
      <c r="AH26" s="37"/>
      <c r="AI26" s="46">
        <v>697011.08999999985</v>
      </c>
      <c r="AJ26" s="46">
        <v>666669.49</v>
      </c>
      <c r="AK26" s="46">
        <v>960003.66000000015</v>
      </c>
      <c r="AL26" s="46">
        <v>932784.68999999971</v>
      </c>
      <c r="AM26" s="46">
        <v>901578.35999999975</v>
      </c>
      <c r="AN26" s="46">
        <v>901781.7899999998</v>
      </c>
      <c r="AO26" s="46">
        <v>1059758</v>
      </c>
      <c r="AP26" s="46">
        <v>1224797.0599999996</v>
      </c>
      <c r="AQ26" s="46">
        <v>1115559.02</v>
      </c>
      <c r="AR26" s="46">
        <v>1047002.2899999998</v>
      </c>
      <c r="AS26" s="46">
        <v>1243739.22</v>
      </c>
      <c r="AT26" s="46">
        <v>1091243.0599999998</v>
      </c>
      <c r="AU26" s="42">
        <f t="shared" si="6"/>
        <v>11841927.729999999</v>
      </c>
      <c r="AW26" s="37">
        <f t="shared" si="7"/>
        <v>2323684.2400000002</v>
      </c>
      <c r="AX26" s="37">
        <f t="shared" si="8"/>
        <v>2736144.8399999989</v>
      </c>
      <c r="AY26" s="37">
        <f t="shared" si="9"/>
        <v>3400114.0799999991</v>
      </c>
      <c r="AZ26" s="37">
        <f t="shared" si="10"/>
        <v>3381984.5700000003</v>
      </c>
      <c r="BA26" s="42">
        <f t="shared" si="11"/>
        <v>30465954.109999996</v>
      </c>
      <c r="BC26" s="37">
        <f>SUM($AI26:AK26)</f>
        <v>2323684.2400000002</v>
      </c>
      <c r="BD26" s="37">
        <f>SUM($AI26:AN26)</f>
        <v>5059829.0799999991</v>
      </c>
      <c r="BE26" s="37">
        <f>SUM($AI26:AQ26)</f>
        <v>8459943.1599999983</v>
      </c>
      <c r="BF26" s="37">
        <f>SUM($AI26:AT26)</f>
        <v>11841927.729999999</v>
      </c>
      <c r="BG26" s="37"/>
      <c r="BI26" s="37"/>
    </row>
    <row r="27" spans="2:61" x14ac:dyDescent="0.25">
      <c r="B27" s="7" t="s">
        <v>43</v>
      </c>
      <c r="C27" t="s">
        <v>173</v>
      </c>
      <c r="D27" t="s">
        <v>174</v>
      </c>
      <c r="E27" t="s">
        <v>175</v>
      </c>
      <c r="F27" s="28" t="s">
        <v>176</v>
      </c>
      <c r="G27" s="28" t="s">
        <v>130</v>
      </c>
      <c r="H27" s="37"/>
      <c r="I27" s="46">
        <v>2311668.8399999989</v>
      </c>
      <c r="J27" s="46">
        <v>2268066.9100000011</v>
      </c>
      <c r="K27" s="46">
        <v>2248505.0099999988</v>
      </c>
      <c r="L27" s="46"/>
      <c r="M27" s="46"/>
      <c r="N27" s="46"/>
      <c r="O27" s="46"/>
      <c r="P27" s="46"/>
      <c r="Q27" s="46"/>
      <c r="R27" s="46"/>
      <c r="S27" s="46"/>
      <c r="T27" s="46"/>
      <c r="U27" s="42">
        <f t="shared" si="0"/>
        <v>6828240.7599999988</v>
      </c>
      <c r="W27" s="37">
        <f t="shared" si="1"/>
        <v>6828240.7599999988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42">
        <f t="shared" si="5"/>
        <v>6828240.7599999988</v>
      </c>
      <c r="AC27" s="37">
        <f>SUM($I27:K27)</f>
        <v>6828240.7599999988</v>
      </c>
      <c r="AD27" s="37">
        <f>SUM($I27:N27)</f>
        <v>6828240.7599999988</v>
      </c>
      <c r="AE27" s="37">
        <f>SUM($I27:Q27)</f>
        <v>6828240.7599999988</v>
      </c>
      <c r="AF27" s="37">
        <f>SUM($I27:T27)</f>
        <v>6828240.7599999988</v>
      </c>
      <c r="AG27" s="37"/>
      <c r="AH27" s="37"/>
      <c r="AI27" s="46">
        <v>2142803.4099999997</v>
      </c>
      <c r="AJ27" s="46">
        <v>1562571.7099999997</v>
      </c>
      <c r="AK27" s="46">
        <v>2144862.5300000003</v>
      </c>
      <c r="AL27" s="46">
        <v>1921254.0199999991</v>
      </c>
      <c r="AM27" s="46">
        <v>2087423.3400000003</v>
      </c>
      <c r="AN27" s="46">
        <v>2290082.1599999997</v>
      </c>
      <c r="AO27" s="46">
        <v>2437369</v>
      </c>
      <c r="AP27" s="46">
        <v>1954134.5199999996</v>
      </c>
      <c r="AQ27" s="46">
        <v>1904284.9499999997</v>
      </c>
      <c r="AR27" s="46">
        <v>1851646.3699999999</v>
      </c>
      <c r="AS27" s="46">
        <v>1594546.3099999998</v>
      </c>
      <c r="AT27" s="46">
        <v>2059448.72</v>
      </c>
      <c r="AU27" s="42">
        <f t="shared" si="6"/>
        <v>23950427.039999995</v>
      </c>
      <c r="AW27" s="37">
        <f t="shared" si="7"/>
        <v>5850237.6499999994</v>
      </c>
      <c r="AX27" s="37">
        <f t="shared" si="8"/>
        <v>6298759.5199999986</v>
      </c>
      <c r="AY27" s="37">
        <f t="shared" si="9"/>
        <v>6295788.4699999988</v>
      </c>
      <c r="AZ27" s="37">
        <f t="shared" si="10"/>
        <v>5505641.3999999985</v>
      </c>
      <c r="BA27" s="42">
        <f t="shared" si="11"/>
        <v>59702283.949999988</v>
      </c>
      <c r="BC27" s="37">
        <f>SUM($AI27:AK27)</f>
        <v>5850237.6499999994</v>
      </c>
      <c r="BD27" s="37">
        <f>SUM($AI27:AN27)</f>
        <v>12148997.169999998</v>
      </c>
      <c r="BE27" s="37">
        <f>SUM($AI27:AQ27)</f>
        <v>18444785.639999997</v>
      </c>
      <c r="BF27" s="37">
        <f>SUM($AI27:AT27)</f>
        <v>23950427.039999995</v>
      </c>
      <c r="BG27" s="37"/>
      <c r="BI27" s="37"/>
    </row>
    <row r="28" spans="2:61" x14ac:dyDescent="0.25">
      <c r="B28" s="7" t="s">
        <v>23</v>
      </c>
      <c r="C28" t="s">
        <v>177</v>
      </c>
      <c r="D28" t="s">
        <v>178</v>
      </c>
      <c r="E28" t="s">
        <v>179</v>
      </c>
      <c r="F28" s="28" t="s">
        <v>176</v>
      </c>
      <c r="G28" s="28" t="s">
        <v>130</v>
      </c>
      <c r="H28" s="37"/>
      <c r="I28" s="46">
        <v>4483709.5172900259</v>
      </c>
      <c r="J28" s="46">
        <v>5569698.0100000007</v>
      </c>
      <c r="K28" s="46">
        <v>4624522.1000000006</v>
      </c>
      <c r="L28" s="46"/>
      <c r="M28" s="46"/>
      <c r="N28" s="46"/>
      <c r="O28" s="46"/>
      <c r="P28" s="46"/>
      <c r="Q28" s="46"/>
      <c r="R28" s="46"/>
      <c r="S28" s="46"/>
      <c r="T28" s="46"/>
      <c r="U28" s="42">
        <f t="shared" si="0"/>
        <v>14677929.627290029</v>
      </c>
      <c r="W28" s="37">
        <f t="shared" si="1"/>
        <v>14677929.627290029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42">
        <f t="shared" si="5"/>
        <v>14677929.627290029</v>
      </c>
      <c r="AC28" s="37">
        <f>SUM($I28:K28)</f>
        <v>14677929.627290029</v>
      </c>
      <c r="AD28" s="37">
        <f>SUM($I28:N28)</f>
        <v>14677929.627290029</v>
      </c>
      <c r="AE28" s="37">
        <f>SUM($I28:Q28)</f>
        <v>14677929.627290029</v>
      </c>
      <c r="AF28" s="37">
        <f>SUM($I28:T28)</f>
        <v>14677929.627290029</v>
      </c>
      <c r="AG28" s="37"/>
      <c r="AH28" s="37"/>
      <c r="AI28" s="46">
        <v>3757928.9899999988</v>
      </c>
      <c r="AJ28" s="46">
        <v>3545434.2399999993</v>
      </c>
      <c r="AK28" s="46">
        <v>3719984.46</v>
      </c>
      <c r="AL28" s="46">
        <v>3299148.65</v>
      </c>
      <c r="AM28" s="46">
        <v>3415670.08</v>
      </c>
      <c r="AN28" s="46">
        <v>3201762.54</v>
      </c>
      <c r="AO28" s="46">
        <v>3973934</v>
      </c>
      <c r="AP28" s="46">
        <v>3782769.0899999994</v>
      </c>
      <c r="AQ28" s="46">
        <v>4573535.51</v>
      </c>
      <c r="AR28" s="46">
        <v>4793009.09</v>
      </c>
      <c r="AS28" s="46">
        <v>4798587.58</v>
      </c>
      <c r="AT28" s="46">
        <v>4135545.4799999995</v>
      </c>
      <c r="AU28" s="42">
        <f t="shared" si="6"/>
        <v>46997309.709999986</v>
      </c>
      <c r="AW28" s="37">
        <f t="shared" si="7"/>
        <v>11023347.689999998</v>
      </c>
      <c r="AX28" s="37">
        <f t="shared" si="8"/>
        <v>9916581.2699999996</v>
      </c>
      <c r="AY28" s="37">
        <f t="shared" si="9"/>
        <v>12330238.599999998</v>
      </c>
      <c r="AZ28" s="37">
        <f t="shared" si="10"/>
        <v>13727142.149999991</v>
      </c>
      <c r="BA28" s="42">
        <f t="shared" si="11"/>
        <v>120052000.16999996</v>
      </c>
      <c r="BC28" s="37">
        <f>SUM($AI28:AK28)</f>
        <v>11023347.689999998</v>
      </c>
      <c r="BD28" s="37">
        <f>SUM($AI28:AN28)</f>
        <v>20939928.959999997</v>
      </c>
      <c r="BE28" s="37">
        <f>SUM($AI28:AQ28)</f>
        <v>33270167.559999995</v>
      </c>
      <c r="BF28" s="37">
        <f>SUM($AI28:AT28)</f>
        <v>46997309.709999986</v>
      </c>
      <c r="BG28" s="37"/>
      <c r="BI28" s="37"/>
    </row>
    <row r="29" spans="2:61" x14ac:dyDescent="0.25">
      <c r="B29" s="7" t="s">
        <v>59</v>
      </c>
      <c r="C29" t="s">
        <v>180</v>
      </c>
      <c r="D29" t="s">
        <v>181</v>
      </c>
      <c r="E29" t="s">
        <v>182</v>
      </c>
      <c r="F29" s="28" t="s">
        <v>176</v>
      </c>
      <c r="G29" s="28" t="s">
        <v>130</v>
      </c>
      <c r="H29" s="37"/>
      <c r="I29" s="46">
        <v>906893.2659310319</v>
      </c>
      <c r="J29" s="46">
        <v>778538.71171724144</v>
      </c>
      <c r="K29" s="46">
        <v>863275.91034482874</v>
      </c>
      <c r="L29" s="46"/>
      <c r="M29" s="46"/>
      <c r="N29" s="46"/>
      <c r="O29" s="46"/>
      <c r="P29" s="46"/>
      <c r="Q29" s="46"/>
      <c r="R29" s="46"/>
      <c r="S29" s="46"/>
      <c r="T29" s="46"/>
      <c r="U29" s="42">
        <f t="shared" si="0"/>
        <v>2548707.887993102</v>
      </c>
      <c r="W29" s="37">
        <f t="shared" si="1"/>
        <v>2548707.887993102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42">
        <f t="shared" si="5"/>
        <v>2548707.887993102</v>
      </c>
      <c r="AC29" s="37">
        <f>SUM($I29:K29)</f>
        <v>2548707.887993102</v>
      </c>
      <c r="AD29" s="37">
        <f>SUM($I29:N29)</f>
        <v>2548707.887993102</v>
      </c>
      <c r="AE29" s="37">
        <f>SUM($I29:Q29)</f>
        <v>2548707.887993102</v>
      </c>
      <c r="AF29" s="37">
        <f>SUM($I29:T29)</f>
        <v>2548707.887993102</v>
      </c>
      <c r="AG29" s="37"/>
      <c r="AH29" s="37"/>
      <c r="AI29" s="46">
        <v>1161209.1553541219</v>
      </c>
      <c r="AJ29" s="46">
        <v>1313303.8601739819</v>
      </c>
      <c r="AK29" s="46">
        <v>807067.30029265268</v>
      </c>
      <c r="AL29" s="46">
        <v>705987.67559676641</v>
      </c>
      <c r="AM29" s="46">
        <v>638115.92873469717</v>
      </c>
      <c r="AN29" s="46">
        <v>862683.59941145871</v>
      </c>
      <c r="AO29" s="46">
        <v>860587</v>
      </c>
      <c r="AP29" s="46">
        <v>800549.69487262797</v>
      </c>
      <c r="AQ29" s="46">
        <v>828315.95297701133</v>
      </c>
      <c r="AR29" s="46">
        <v>690650.96000000008</v>
      </c>
      <c r="AS29" s="46">
        <v>235704.81000000006</v>
      </c>
      <c r="AT29" s="46">
        <v>767523.04827586072</v>
      </c>
      <c r="AU29" s="42">
        <f t="shared" si="6"/>
        <v>9671698.9856891781</v>
      </c>
      <c r="AW29" s="37">
        <f t="shared" si="7"/>
        <v>3281580.3158207564</v>
      </c>
      <c r="AX29" s="37">
        <f t="shared" si="8"/>
        <v>2206787.2037429223</v>
      </c>
      <c r="AY29" s="37">
        <f t="shared" si="9"/>
        <v>2489452.6478496389</v>
      </c>
      <c r="AZ29" s="37">
        <f t="shared" si="10"/>
        <v>1693878.8182758605</v>
      </c>
      <c r="BA29" s="42">
        <f t="shared" si="11"/>
        <v>23526729.437503856</v>
      </c>
      <c r="BC29" s="37">
        <f>SUM($AI29:AK29)</f>
        <v>3281580.3158207564</v>
      </c>
      <c r="BD29" s="37">
        <f>SUM($AI29:AN29)</f>
        <v>5488367.5195636787</v>
      </c>
      <c r="BE29" s="37">
        <f>SUM($AI29:AQ29)</f>
        <v>7977820.1674133176</v>
      </c>
      <c r="BF29" s="37">
        <f>SUM($AI29:AT29)</f>
        <v>9671698.9856891781</v>
      </c>
      <c r="BG29" s="37"/>
      <c r="BI29" s="37"/>
    </row>
    <row r="30" spans="2:61" x14ac:dyDescent="0.25">
      <c r="B30" s="7" t="s">
        <v>26</v>
      </c>
      <c r="C30" t="s">
        <v>183</v>
      </c>
      <c r="D30" t="s">
        <v>184</v>
      </c>
      <c r="E30" t="s">
        <v>185</v>
      </c>
      <c r="F30" s="28" t="s">
        <v>176</v>
      </c>
      <c r="G30" s="28" t="s">
        <v>130</v>
      </c>
      <c r="H30" s="37"/>
      <c r="I30" s="46">
        <v>4969736.3600000013</v>
      </c>
      <c r="J30" s="46">
        <v>5297130.1700000009</v>
      </c>
      <c r="K30" s="46">
        <v>5429593.8500000015</v>
      </c>
      <c r="L30" s="46"/>
      <c r="M30" s="46"/>
      <c r="N30" s="46"/>
      <c r="O30" s="46"/>
      <c r="P30" s="46"/>
      <c r="Q30" s="46"/>
      <c r="R30" s="46"/>
      <c r="S30" s="46"/>
      <c r="T30" s="46"/>
      <c r="U30" s="42">
        <f t="shared" si="0"/>
        <v>15696460.380000003</v>
      </c>
      <c r="W30" s="37">
        <f t="shared" si="1"/>
        <v>15696460.380000003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42">
        <f t="shared" si="5"/>
        <v>15696460.380000003</v>
      </c>
      <c r="AC30" s="37">
        <f>SUM($I30:K30)</f>
        <v>15696460.380000003</v>
      </c>
      <c r="AD30" s="37">
        <f>SUM($I30:N30)</f>
        <v>15696460.380000003</v>
      </c>
      <c r="AE30" s="37">
        <f>SUM($I30:Q30)</f>
        <v>15696460.380000003</v>
      </c>
      <c r="AF30" s="37">
        <f>SUM($I30:T30)</f>
        <v>15696460.380000003</v>
      </c>
      <c r="AG30" s="37"/>
      <c r="AH30" s="37"/>
      <c r="AI30" s="46">
        <v>4198255.2100000009</v>
      </c>
      <c r="AJ30" s="46">
        <v>4132992.4700000007</v>
      </c>
      <c r="AK30" s="46">
        <v>3558225.4000000004</v>
      </c>
      <c r="AL30" s="46">
        <v>3945742.9500000016</v>
      </c>
      <c r="AM30" s="46">
        <v>4133384.7199999997</v>
      </c>
      <c r="AN30" s="46">
        <v>4477644.8100000015</v>
      </c>
      <c r="AO30" s="46">
        <v>4711091</v>
      </c>
      <c r="AP30" s="46">
        <v>4704952.8200000012</v>
      </c>
      <c r="AQ30" s="46">
        <v>5635479.0600000005</v>
      </c>
      <c r="AR30" s="46">
        <v>5709441.7100000009</v>
      </c>
      <c r="AS30" s="46">
        <v>5459285.0099999998</v>
      </c>
      <c r="AT30" s="46">
        <v>5841143.580000001</v>
      </c>
      <c r="AU30" s="42">
        <f t="shared" si="6"/>
        <v>56507638.74000001</v>
      </c>
      <c r="AW30" s="37">
        <f t="shared" si="7"/>
        <v>11889473.080000002</v>
      </c>
      <c r="AX30" s="37">
        <f t="shared" si="8"/>
        <v>12556772.480000004</v>
      </c>
      <c r="AY30" s="37">
        <f t="shared" si="9"/>
        <v>15051522.880000006</v>
      </c>
      <c r="AZ30" s="37">
        <f t="shared" si="10"/>
        <v>17009870.299999997</v>
      </c>
      <c r="BA30" s="42">
        <f t="shared" si="11"/>
        <v>145076670.66000003</v>
      </c>
      <c r="BC30" s="37">
        <f>SUM($AI30:AK30)</f>
        <v>11889473.080000002</v>
      </c>
      <c r="BD30" s="37">
        <f>SUM($AI30:AN30)</f>
        <v>24446245.560000006</v>
      </c>
      <c r="BE30" s="37">
        <f>SUM($AI30:AQ30)</f>
        <v>39497768.440000013</v>
      </c>
      <c r="BF30" s="37">
        <f>SUM($AI30:AT30)</f>
        <v>56507638.74000001</v>
      </c>
      <c r="BG30" s="37"/>
      <c r="BI30" s="37"/>
    </row>
    <row r="31" spans="2:61" x14ac:dyDescent="0.25">
      <c r="B31" s="7" t="s">
        <v>31</v>
      </c>
      <c r="C31" t="s">
        <v>191</v>
      </c>
      <c r="D31" t="s">
        <v>192</v>
      </c>
      <c r="E31" t="s">
        <v>193</v>
      </c>
      <c r="F31" s="28" t="s">
        <v>190</v>
      </c>
      <c r="G31" s="28" t="s">
        <v>130</v>
      </c>
      <c r="H31" s="37"/>
      <c r="I31" s="46">
        <v>5086246.8000000007</v>
      </c>
      <c r="J31" s="46">
        <v>4796436.8199999984</v>
      </c>
      <c r="K31" s="46">
        <v>4508305.7799999984</v>
      </c>
      <c r="L31" s="46"/>
      <c r="M31" s="46"/>
      <c r="N31" s="46"/>
      <c r="O31" s="46"/>
      <c r="P31" s="46"/>
      <c r="Q31" s="46"/>
      <c r="R31" s="46"/>
      <c r="S31" s="46"/>
      <c r="T31" s="46"/>
      <c r="U31" s="42">
        <f t="shared" si="0"/>
        <v>14390989.399999999</v>
      </c>
      <c r="W31" s="37">
        <f t="shared" si="1"/>
        <v>14390989.399999999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42">
        <f t="shared" si="5"/>
        <v>14390989.399999999</v>
      </c>
      <c r="AC31" s="37">
        <f>SUM($I31:K31)</f>
        <v>14390989.399999999</v>
      </c>
      <c r="AD31" s="37">
        <f>SUM($I31:N31)</f>
        <v>14390989.399999999</v>
      </c>
      <c r="AE31" s="37">
        <f>SUM($I31:Q31)</f>
        <v>14390989.399999999</v>
      </c>
      <c r="AF31" s="37">
        <f>SUM($I31:T31)</f>
        <v>14390989.399999999</v>
      </c>
      <c r="AG31" s="37"/>
      <c r="AH31" s="37"/>
      <c r="AI31" s="46">
        <v>3976377.8780322392</v>
      </c>
      <c r="AJ31" s="46">
        <v>3846411.4930628007</v>
      </c>
      <c r="AK31" s="46">
        <v>3952920.266712266</v>
      </c>
      <c r="AL31" s="46">
        <v>3949578.663550308</v>
      </c>
      <c r="AM31" s="46">
        <v>4049424.8887333348</v>
      </c>
      <c r="AN31" s="46">
        <v>4237814.1603999995</v>
      </c>
      <c r="AO31" s="46">
        <v>4638202</v>
      </c>
      <c r="AP31" s="46">
        <v>4258213.0232289899</v>
      </c>
      <c r="AQ31" s="46">
        <v>4783013.9907407444</v>
      </c>
      <c r="AR31" s="46">
        <v>4442367.0140740741</v>
      </c>
      <c r="AS31" s="46">
        <v>3745768.6100283451</v>
      </c>
      <c r="AT31" s="46">
        <v>4623637.6528237127</v>
      </c>
      <c r="AU31" s="42">
        <f t="shared" si="6"/>
        <v>50503729.641386822</v>
      </c>
      <c r="AW31" s="37">
        <f t="shared" si="7"/>
        <v>11775709.637807306</v>
      </c>
      <c r="AX31" s="37">
        <f t="shared" si="8"/>
        <v>12236817.71268364</v>
      </c>
      <c r="AY31" s="37">
        <f t="shared" si="9"/>
        <v>13679429.013969738</v>
      </c>
      <c r="AZ31" s="37">
        <f t="shared" si="10"/>
        <v>12811773.276926138</v>
      </c>
      <c r="BA31" s="42">
        <f t="shared" si="11"/>
        <v>127498661.57366952</v>
      </c>
      <c r="BC31" s="37">
        <f>SUM($AI31:AK31)</f>
        <v>11775709.637807306</v>
      </c>
      <c r="BD31" s="37">
        <f>SUM($AI31:AN31)</f>
        <v>24012527.350490946</v>
      </c>
      <c r="BE31" s="37">
        <f>SUM($AI31:AQ31)</f>
        <v>37691956.364460684</v>
      </c>
      <c r="BF31" s="37">
        <f>SUM($AI31:AT31)</f>
        <v>50503729.641386822</v>
      </c>
      <c r="BG31" s="37"/>
      <c r="BI31" s="37"/>
    </row>
    <row r="32" spans="2:61" x14ac:dyDescent="0.25">
      <c r="B32" s="7" t="s">
        <v>8</v>
      </c>
      <c r="C32" t="s">
        <v>194</v>
      </c>
      <c r="D32" t="s">
        <v>195</v>
      </c>
      <c r="E32" t="s">
        <v>196</v>
      </c>
      <c r="F32" s="28" t="s">
        <v>190</v>
      </c>
      <c r="G32" s="28" t="s">
        <v>130</v>
      </c>
      <c r="H32" s="37"/>
      <c r="I32" s="46">
        <v>2958855.2499999991</v>
      </c>
      <c r="J32" s="46">
        <v>3551053.1500000018</v>
      </c>
      <c r="K32" s="46">
        <v>4023986.59</v>
      </c>
      <c r="L32" s="46"/>
      <c r="M32" s="46"/>
      <c r="N32" s="46"/>
      <c r="O32" s="46"/>
      <c r="P32" s="46"/>
      <c r="Q32" s="46"/>
      <c r="R32" s="46"/>
      <c r="S32" s="46"/>
      <c r="T32" s="46"/>
      <c r="U32" s="42">
        <f t="shared" si="0"/>
        <v>10533894.99</v>
      </c>
      <c r="W32" s="37">
        <f t="shared" si="1"/>
        <v>10533894.99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42">
        <f t="shared" si="5"/>
        <v>10533894.99</v>
      </c>
      <c r="AC32" s="37">
        <f>SUM($I32:K32)</f>
        <v>10533894.99</v>
      </c>
      <c r="AD32" s="37">
        <f>SUM($I32:N32)</f>
        <v>10533894.99</v>
      </c>
      <c r="AE32" s="37">
        <f>SUM($I32:Q32)</f>
        <v>10533894.99</v>
      </c>
      <c r="AF32" s="37">
        <f>SUM($I32:T32)</f>
        <v>10533894.99</v>
      </c>
      <c r="AG32" s="37"/>
      <c r="AH32" s="37"/>
      <c r="AI32" s="46">
        <v>380306.62999999942</v>
      </c>
      <c r="AJ32" s="46">
        <v>1530815.4799999986</v>
      </c>
      <c r="AK32" s="46">
        <v>3070199.2700000009</v>
      </c>
      <c r="AL32" s="46">
        <v>5969381.879999999</v>
      </c>
      <c r="AM32" s="46">
        <v>4087824.37</v>
      </c>
      <c r="AN32" s="46">
        <v>2733054.2599999988</v>
      </c>
      <c r="AO32" s="46">
        <v>3145700</v>
      </c>
      <c r="AP32" s="46">
        <v>3053517.4999999991</v>
      </c>
      <c r="AQ32" s="46">
        <v>4118336.879999999</v>
      </c>
      <c r="AR32" s="46">
        <v>4462109.9899999984</v>
      </c>
      <c r="AS32" s="46">
        <v>3665495.1700000004</v>
      </c>
      <c r="AT32" s="46">
        <v>3247840.5399999991</v>
      </c>
      <c r="AU32" s="42">
        <f t="shared" si="6"/>
        <v>39464581.969999991</v>
      </c>
      <c r="AW32" s="37">
        <f t="shared" si="7"/>
        <v>4981321.379999999</v>
      </c>
      <c r="AX32" s="37">
        <f t="shared" si="8"/>
        <v>12790260.509999998</v>
      </c>
      <c r="AY32" s="37">
        <f t="shared" si="9"/>
        <v>10317554.379999999</v>
      </c>
      <c r="AZ32" s="37">
        <f t="shared" si="10"/>
        <v>11375445.699999996</v>
      </c>
      <c r="BA32" s="42">
        <f t="shared" si="11"/>
        <v>100622164.01999998</v>
      </c>
      <c r="BC32" s="37">
        <f>SUM($AI32:AK32)</f>
        <v>4981321.379999999</v>
      </c>
      <c r="BD32" s="37">
        <f>SUM($AI32:AN32)</f>
        <v>17771581.889999997</v>
      </c>
      <c r="BE32" s="37">
        <f>SUM($AI32:AQ32)</f>
        <v>28089136.269999996</v>
      </c>
      <c r="BF32" s="37">
        <f>SUM($AI32:AT32)</f>
        <v>39464581.969999991</v>
      </c>
      <c r="BG32" s="37"/>
      <c r="BI32" s="37"/>
    </row>
    <row r="33" spans="2:61" x14ac:dyDescent="0.25">
      <c r="B33" s="7" t="s">
        <v>71</v>
      </c>
      <c r="C33" t="s">
        <v>197</v>
      </c>
      <c r="D33" t="s">
        <v>198</v>
      </c>
      <c r="E33" t="s">
        <v>199</v>
      </c>
      <c r="F33" s="28" t="s">
        <v>190</v>
      </c>
      <c r="G33" s="28" t="s">
        <v>130</v>
      </c>
      <c r="H33" s="37"/>
      <c r="I33" s="46">
        <v>511460.25</v>
      </c>
      <c r="J33" s="46">
        <v>528230.3600000001</v>
      </c>
      <c r="K33" s="46">
        <v>508699.85000000009</v>
      </c>
      <c r="L33" s="46"/>
      <c r="M33" s="46"/>
      <c r="N33" s="46"/>
      <c r="O33" s="46"/>
      <c r="P33" s="46"/>
      <c r="Q33" s="46"/>
      <c r="R33" s="46"/>
      <c r="S33" s="46"/>
      <c r="T33" s="46"/>
      <c r="U33" s="42">
        <f t="shared" si="0"/>
        <v>1548390.4600000002</v>
      </c>
      <c r="W33" s="37">
        <f t="shared" si="1"/>
        <v>1548390.4600000002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42">
        <f t="shared" si="5"/>
        <v>1548390.4600000002</v>
      </c>
      <c r="AC33" s="37">
        <f>SUM($I33:K33)</f>
        <v>1548390.4600000002</v>
      </c>
      <c r="AD33" s="37">
        <f>SUM($I33:N33)</f>
        <v>1548390.4600000002</v>
      </c>
      <c r="AE33" s="37">
        <f>SUM($I33:Q33)</f>
        <v>1548390.4600000002</v>
      </c>
      <c r="AF33" s="37">
        <f>SUM($I33:T33)</f>
        <v>1548390.4600000002</v>
      </c>
      <c r="AG33" s="37"/>
      <c r="AH33" s="37"/>
      <c r="AI33" s="46">
        <v>402499.46000000008</v>
      </c>
      <c r="AJ33" s="46">
        <v>408668.1551909605</v>
      </c>
      <c r="AK33" s="46">
        <v>310181.72000000009</v>
      </c>
      <c r="AL33" s="46">
        <v>444268.94000000006</v>
      </c>
      <c r="AM33" s="46">
        <v>432697.76000000013</v>
      </c>
      <c r="AN33" s="46">
        <v>456602.06000000011</v>
      </c>
      <c r="AO33" s="46">
        <v>451216</v>
      </c>
      <c r="AP33" s="46">
        <v>433683.26852429385</v>
      </c>
      <c r="AQ33" s="46">
        <v>434476.29852429382</v>
      </c>
      <c r="AR33" s="46">
        <v>433887.25</v>
      </c>
      <c r="AS33" s="46">
        <v>449496.62851851858</v>
      </c>
      <c r="AT33" s="46">
        <v>420463.5</v>
      </c>
      <c r="AU33" s="42">
        <f t="shared" si="6"/>
        <v>5078141.0407580677</v>
      </c>
      <c r="AW33" s="37">
        <f t="shared" si="7"/>
        <v>1121349.3351909607</v>
      </c>
      <c r="AX33" s="37">
        <f t="shared" si="8"/>
        <v>1333568.7600000002</v>
      </c>
      <c r="AY33" s="37">
        <f t="shared" si="9"/>
        <v>1319375.5670485878</v>
      </c>
      <c r="AZ33" s="37">
        <f t="shared" si="10"/>
        <v>1303847.378518519</v>
      </c>
      <c r="BA33" s="42">
        <f t="shared" si="11"/>
        <v>12779505.02708324</v>
      </c>
      <c r="BC33" s="37">
        <f>SUM($AI33:AK33)</f>
        <v>1121349.3351909607</v>
      </c>
      <c r="BD33" s="37">
        <f>SUM($AI33:AN33)</f>
        <v>2454918.0951909609</v>
      </c>
      <c r="BE33" s="37">
        <f>SUM($AI33:AQ33)</f>
        <v>3774293.6622395488</v>
      </c>
      <c r="BF33" s="37">
        <f>SUM($AI33:AT33)</f>
        <v>5078141.0407580677</v>
      </c>
      <c r="BG33" s="37"/>
      <c r="BI33" s="37"/>
    </row>
    <row r="34" spans="2:61" x14ac:dyDescent="0.25">
      <c r="B34" s="7" t="s">
        <v>11</v>
      </c>
      <c r="C34" t="s">
        <v>200</v>
      </c>
      <c r="D34" t="s">
        <v>201</v>
      </c>
      <c r="E34" t="s">
        <v>202</v>
      </c>
      <c r="F34" s="28" t="s">
        <v>190</v>
      </c>
      <c r="G34" s="28" t="s">
        <v>130</v>
      </c>
      <c r="H34" s="37"/>
      <c r="I34" s="46">
        <v>7147044.2492564311</v>
      </c>
      <c r="J34" s="46">
        <v>7941261.4299999978</v>
      </c>
      <c r="K34" s="46">
        <v>7930937.3549020868</v>
      </c>
      <c r="L34" s="46"/>
      <c r="M34" s="46"/>
      <c r="N34" s="46"/>
      <c r="O34" s="46"/>
      <c r="P34" s="46"/>
      <c r="Q34" s="46"/>
      <c r="R34" s="46"/>
      <c r="S34" s="46"/>
      <c r="T34" s="46"/>
      <c r="U34" s="42">
        <f t="shared" si="0"/>
        <v>23019243.034158513</v>
      </c>
      <c r="W34" s="37">
        <f t="shared" si="1"/>
        <v>23019243.034158513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42">
        <f t="shared" si="5"/>
        <v>23019243.034158513</v>
      </c>
      <c r="AC34" s="37">
        <f>SUM($I34:K34)</f>
        <v>23019243.034158513</v>
      </c>
      <c r="AD34" s="37">
        <f>SUM($I34:N34)</f>
        <v>23019243.034158513</v>
      </c>
      <c r="AE34" s="37">
        <f>SUM($I34:Q34)</f>
        <v>23019243.034158513</v>
      </c>
      <c r="AF34" s="37">
        <f>SUM($I34:T34)</f>
        <v>23019243.034158513</v>
      </c>
      <c r="AG34" s="37"/>
      <c r="AH34" s="37"/>
      <c r="AI34" s="46">
        <v>5538383.0609605517</v>
      </c>
      <c r="AJ34" s="46">
        <v>5752224.46</v>
      </c>
      <c r="AK34" s="46">
        <v>5646779.1836285433</v>
      </c>
      <c r="AL34" s="46">
        <v>5643208.9743222538</v>
      </c>
      <c r="AM34" s="46">
        <v>5982100.2050265726</v>
      </c>
      <c r="AN34" s="46">
        <v>6016105.1623241222</v>
      </c>
      <c r="AO34" s="46">
        <v>6090472</v>
      </c>
      <c r="AP34" s="46">
        <v>6353085.3385582743</v>
      </c>
      <c r="AQ34" s="46">
        <v>6829740.7493921462</v>
      </c>
      <c r="AR34" s="46">
        <v>7134486.7799999993</v>
      </c>
      <c r="AS34" s="46">
        <v>6477409.9610540746</v>
      </c>
      <c r="AT34" s="46">
        <v>8257038.6245767865</v>
      </c>
      <c r="AU34" s="42">
        <f t="shared" si="6"/>
        <v>75721034.499843329</v>
      </c>
      <c r="AW34" s="37">
        <f t="shared" si="7"/>
        <v>16937386.704589095</v>
      </c>
      <c r="AX34" s="37">
        <f t="shared" si="8"/>
        <v>17641414.341672953</v>
      </c>
      <c r="AY34" s="37">
        <f t="shared" si="9"/>
        <v>19273298.087950416</v>
      </c>
      <c r="AZ34" s="37">
        <f t="shared" si="10"/>
        <v>21868935.365630865</v>
      </c>
      <c r="BA34" s="42">
        <f t="shared" si="11"/>
        <v>192584302.45326793</v>
      </c>
      <c r="BC34" s="37">
        <f>SUM($AI34:AK34)</f>
        <v>16937386.704589095</v>
      </c>
      <c r="BD34" s="37">
        <f>SUM($AI34:AN34)</f>
        <v>34578801.046262048</v>
      </c>
      <c r="BE34" s="37">
        <f>SUM($AI34:AQ34)</f>
        <v>53852099.134212464</v>
      </c>
      <c r="BF34" s="37">
        <f>SUM($AI34:AT34)</f>
        <v>75721034.499843329</v>
      </c>
      <c r="BG34" s="37"/>
      <c r="BI34" s="37"/>
    </row>
    <row r="35" spans="2:61" x14ac:dyDescent="0.25">
      <c r="B35" s="7" t="s">
        <v>46</v>
      </c>
      <c r="C35" t="s">
        <v>203</v>
      </c>
      <c r="D35" t="s">
        <v>204</v>
      </c>
      <c r="E35" t="s">
        <v>205</v>
      </c>
      <c r="F35" s="28" t="s">
        <v>190</v>
      </c>
      <c r="G35" s="28" t="s">
        <v>130</v>
      </c>
      <c r="H35" s="37"/>
      <c r="I35" s="46">
        <v>1733321.5099999998</v>
      </c>
      <c r="J35" s="46">
        <v>1777180.9499999997</v>
      </c>
      <c r="K35" s="46">
        <v>3194326.4700000007</v>
      </c>
      <c r="L35" s="46"/>
      <c r="M35" s="46"/>
      <c r="N35" s="46"/>
      <c r="O35" s="46"/>
      <c r="P35" s="46"/>
      <c r="Q35" s="46"/>
      <c r="R35" s="46"/>
      <c r="S35" s="46"/>
      <c r="T35" s="46"/>
      <c r="U35" s="42">
        <f t="shared" si="0"/>
        <v>6704828.9299999997</v>
      </c>
      <c r="W35" s="37">
        <f t="shared" si="1"/>
        <v>6704828.9299999997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42">
        <f t="shared" si="5"/>
        <v>6704828.9299999997</v>
      </c>
      <c r="AC35" s="37">
        <f>SUM($I35:K35)</f>
        <v>6704828.9299999997</v>
      </c>
      <c r="AD35" s="37">
        <f>SUM($I35:N35)</f>
        <v>6704828.9299999997</v>
      </c>
      <c r="AE35" s="37">
        <f>SUM($I35:Q35)</f>
        <v>6704828.9299999997</v>
      </c>
      <c r="AF35" s="37">
        <f>SUM($I35:T35)</f>
        <v>6704828.9299999997</v>
      </c>
      <c r="AG35" s="37"/>
      <c r="AH35" s="37"/>
      <c r="AI35" s="46">
        <v>1321793.4511449481</v>
      </c>
      <c r="AJ35" s="46">
        <v>1426314.1013835955</v>
      </c>
      <c r="AK35" s="46">
        <v>2480426.0697819856</v>
      </c>
      <c r="AL35" s="46">
        <v>1631561.2302101336</v>
      </c>
      <c r="AM35" s="46">
        <v>1716965.444494098</v>
      </c>
      <c r="AN35" s="46">
        <v>1723120.1992888886</v>
      </c>
      <c r="AO35" s="46">
        <v>1550348</v>
      </c>
      <c r="AP35" s="46">
        <v>1577221.1699696539</v>
      </c>
      <c r="AQ35" s="46">
        <v>1420957.1411192839</v>
      </c>
      <c r="AR35" s="46">
        <v>1639432.55</v>
      </c>
      <c r="AS35" s="46">
        <v>1321017.6425259255</v>
      </c>
      <c r="AT35" s="46">
        <v>1292649.269490741</v>
      </c>
      <c r="AU35" s="42">
        <f t="shared" si="6"/>
        <v>19101806.269409254</v>
      </c>
      <c r="AW35" s="37">
        <f t="shared" si="7"/>
        <v>5228533.6223105285</v>
      </c>
      <c r="AX35" s="37">
        <f t="shared" si="8"/>
        <v>5071646.8739931192</v>
      </c>
      <c r="AY35" s="37">
        <f t="shared" si="9"/>
        <v>4548526.3110889383</v>
      </c>
      <c r="AZ35" s="37">
        <f t="shared" si="10"/>
        <v>4253099.4620166682</v>
      </c>
      <c r="BA35" s="42">
        <f t="shared" si="11"/>
        <v>47005238.311924115</v>
      </c>
      <c r="BC35" s="37">
        <f>SUM($AI35:AK35)</f>
        <v>5228533.6223105285</v>
      </c>
      <c r="BD35" s="37">
        <f>SUM($AI35:AN35)</f>
        <v>10300180.496303648</v>
      </c>
      <c r="BE35" s="37">
        <f>SUM($AI35:AQ35)</f>
        <v>14848706.807392586</v>
      </c>
      <c r="BF35" s="37">
        <f>SUM($AI35:AT35)</f>
        <v>19101806.269409254</v>
      </c>
      <c r="BG35" s="37"/>
      <c r="BI35" s="37"/>
    </row>
    <row r="36" spans="2:61" x14ac:dyDescent="0.25">
      <c r="B36" s="7" t="s">
        <v>37</v>
      </c>
      <c r="C36" t="s">
        <v>206</v>
      </c>
      <c r="D36" t="s">
        <v>207</v>
      </c>
      <c r="E36" t="s">
        <v>208</v>
      </c>
      <c r="F36" s="28" t="s">
        <v>190</v>
      </c>
      <c r="G36" s="28" t="s">
        <v>130</v>
      </c>
      <c r="H36" s="37"/>
      <c r="I36" s="46">
        <v>4062282.4100000006</v>
      </c>
      <c r="J36" s="46">
        <v>4360647.2499999972</v>
      </c>
      <c r="K36" s="46">
        <v>4080547.6697239927</v>
      </c>
      <c r="L36" s="46"/>
      <c r="M36" s="46"/>
      <c r="N36" s="46"/>
      <c r="O36" s="46"/>
      <c r="P36" s="46"/>
      <c r="Q36" s="46"/>
      <c r="R36" s="46"/>
      <c r="S36" s="46"/>
      <c r="T36" s="46"/>
      <c r="U36" s="42">
        <f t="shared" si="0"/>
        <v>12503477.329723991</v>
      </c>
      <c r="W36" s="37">
        <f t="shared" si="1"/>
        <v>12503477.329723991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42">
        <f t="shared" si="5"/>
        <v>12503477.329723991</v>
      </c>
      <c r="AC36" s="37">
        <f>SUM($I36:K36)</f>
        <v>12503477.329723991</v>
      </c>
      <c r="AD36" s="37">
        <f>SUM($I36:N36)</f>
        <v>12503477.329723991</v>
      </c>
      <c r="AE36" s="37">
        <f>SUM($I36:Q36)</f>
        <v>12503477.329723991</v>
      </c>
      <c r="AF36" s="37">
        <f>SUM($I36:T36)</f>
        <v>12503477.329723991</v>
      </c>
      <c r="AG36" s="37"/>
      <c r="AH36" s="37"/>
      <c r="AI36" s="46">
        <v>2678890.58</v>
      </c>
      <c r="AJ36" s="46">
        <v>3489125.7440520003</v>
      </c>
      <c r="AK36" s="46">
        <v>2952241.0180172417</v>
      </c>
      <c r="AL36" s="46">
        <v>3139385.9938793117</v>
      </c>
      <c r="AM36" s="46">
        <v>3103783.64</v>
      </c>
      <c r="AN36" s="46">
        <v>3139305.2521744301</v>
      </c>
      <c r="AO36" s="46">
        <v>3514961</v>
      </c>
      <c r="AP36" s="46">
        <v>3703935.1899999995</v>
      </c>
      <c r="AQ36" s="46">
        <v>4020181.3094137926</v>
      </c>
      <c r="AR36" s="46">
        <v>4226689.0731664598</v>
      </c>
      <c r="AS36" s="46">
        <v>4171936.4056137921</v>
      </c>
      <c r="AT36" s="46">
        <v>4065060.6888781595</v>
      </c>
      <c r="AU36" s="42">
        <f t="shared" si="6"/>
        <v>42205495.895195186</v>
      </c>
      <c r="AW36" s="37">
        <f t="shared" si="7"/>
        <v>9120257.3420692421</v>
      </c>
      <c r="AX36" s="37">
        <f t="shared" si="8"/>
        <v>9382474.886053741</v>
      </c>
      <c r="AY36" s="37">
        <f t="shared" si="9"/>
        <v>11239077.499413792</v>
      </c>
      <c r="AZ36" s="37">
        <f t="shared" si="10"/>
        <v>12463686.167658411</v>
      </c>
      <c r="BA36" s="42">
        <f t="shared" si="11"/>
        <v>108113755.45746258</v>
      </c>
      <c r="BC36" s="37">
        <f>SUM($AI36:AK36)</f>
        <v>9120257.3420692421</v>
      </c>
      <c r="BD36" s="37">
        <f>SUM($AI36:AN36)</f>
        <v>18502732.228122983</v>
      </c>
      <c r="BE36" s="37">
        <f>SUM($AI36:AQ36)</f>
        <v>29741809.727536775</v>
      </c>
      <c r="BF36" s="37">
        <f>SUM($AI36:AT36)</f>
        <v>42205495.895195186</v>
      </c>
      <c r="BG36" s="37"/>
      <c r="BI36" s="37"/>
    </row>
    <row r="37" spans="2:61" x14ac:dyDescent="0.25">
      <c r="B37" s="7" t="s">
        <v>56</v>
      </c>
      <c r="C37" t="s">
        <v>209</v>
      </c>
      <c r="D37" t="s">
        <v>210</v>
      </c>
      <c r="E37" t="s">
        <v>211</v>
      </c>
      <c r="F37" s="28" t="s">
        <v>190</v>
      </c>
      <c r="G37" s="28" t="s">
        <v>130</v>
      </c>
      <c r="H37" s="37"/>
      <c r="I37" s="46">
        <v>624363.28</v>
      </c>
      <c r="J37" s="46">
        <v>678873.80666666699</v>
      </c>
      <c r="K37" s="46">
        <v>645826.84000000032</v>
      </c>
      <c r="L37" s="46"/>
      <c r="M37" s="46"/>
      <c r="N37" s="46"/>
      <c r="O37" s="46"/>
      <c r="P37" s="46"/>
      <c r="Q37" s="46"/>
      <c r="R37" s="46"/>
      <c r="S37" s="46"/>
      <c r="T37" s="46"/>
      <c r="U37" s="42">
        <f t="shared" si="0"/>
        <v>1949063.9266666672</v>
      </c>
      <c r="W37" s="37">
        <f t="shared" si="1"/>
        <v>1949063.9266666672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42">
        <f t="shared" si="5"/>
        <v>1949063.9266666672</v>
      </c>
      <c r="AC37" s="37">
        <f>SUM($I37:K37)</f>
        <v>1949063.9266666672</v>
      </c>
      <c r="AD37" s="37">
        <f>SUM($I37:N37)</f>
        <v>1949063.9266666672</v>
      </c>
      <c r="AE37" s="37">
        <f>SUM($I37:Q37)</f>
        <v>1949063.9266666672</v>
      </c>
      <c r="AF37" s="37">
        <f>SUM($I37:T37)</f>
        <v>1949063.9266666672</v>
      </c>
      <c r="AG37" s="37"/>
      <c r="AH37" s="37"/>
      <c r="AI37" s="46">
        <v>614600.97</v>
      </c>
      <c r="AJ37" s="46">
        <v>420472.44000000006</v>
      </c>
      <c r="AK37" s="46">
        <v>327863.51000000013</v>
      </c>
      <c r="AL37" s="46">
        <v>498640.18000000017</v>
      </c>
      <c r="AM37" s="46">
        <v>285510.69999999995</v>
      </c>
      <c r="AN37" s="46">
        <v>310884.37</v>
      </c>
      <c r="AO37" s="46">
        <v>582359</v>
      </c>
      <c r="AP37" s="46">
        <v>738241.51000000024</v>
      </c>
      <c r="AQ37" s="46">
        <v>729345.10000000009</v>
      </c>
      <c r="AR37" s="46">
        <v>790431.66</v>
      </c>
      <c r="AS37" s="46">
        <v>811258.09000000032</v>
      </c>
      <c r="AT37" s="46">
        <v>722476.62000000011</v>
      </c>
      <c r="AU37" s="42">
        <f t="shared" si="6"/>
        <v>6832084.1500000013</v>
      </c>
      <c r="AW37" s="37">
        <f t="shared" si="7"/>
        <v>1362936.9200000002</v>
      </c>
      <c r="AX37" s="37">
        <f t="shared" si="8"/>
        <v>1095035.2500000002</v>
      </c>
      <c r="AY37" s="37">
        <f t="shared" si="9"/>
        <v>2049945.6100000008</v>
      </c>
      <c r="AZ37" s="37">
        <f t="shared" si="10"/>
        <v>2324166.37</v>
      </c>
      <c r="BA37" s="42">
        <f t="shared" si="11"/>
        <v>18038280.280000005</v>
      </c>
      <c r="BC37" s="37">
        <f>SUM($AI37:AK37)</f>
        <v>1362936.9200000002</v>
      </c>
      <c r="BD37" s="37">
        <f>SUM($AI37:AN37)</f>
        <v>2457972.1700000004</v>
      </c>
      <c r="BE37" s="37">
        <f>SUM($AI37:AQ37)</f>
        <v>4507917.7800000012</v>
      </c>
      <c r="BF37" s="37">
        <f>SUM($AI37:AT37)</f>
        <v>6832084.1500000013</v>
      </c>
      <c r="BG37" s="37"/>
      <c r="BI37" s="37"/>
    </row>
    <row r="38" spans="2:61" x14ac:dyDescent="0.25">
      <c r="B38" s="7" t="s">
        <v>61</v>
      </c>
      <c r="C38" t="s">
        <v>212</v>
      </c>
      <c r="D38" t="s">
        <v>213</v>
      </c>
      <c r="E38" t="s">
        <v>214</v>
      </c>
      <c r="F38" s="28" t="s">
        <v>190</v>
      </c>
      <c r="G38" s="28" t="s">
        <v>130</v>
      </c>
      <c r="H38" s="37"/>
      <c r="I38" s="46">
        <v>1170792.7600000002</v>
      </c>
      <c r="J38" s="46">
        <v>1068574.3900000001</v>
      </c>
      <c r="K38" s="46">
        <v>1333474.6110344827</v>
      </c>
      <c r="L38" s="46"/>
      <c r="M38" s="46"/>
      <c r="N38" s="46"/>
      <c r="O38" s="46"/>
      <c r="P38" s="46"/>
      <c r="Q38" s="46"/>
      <c r="R38" s="46"/>
      <c r="S38" s="46"/>
      <c r="T38" s="46"/>
      <c r="U38" s="42">
        <f t="shared" si="0"/>
        <v>3572841.7610344831</v>
      </c>
      <c r="W38" s="37">
        <f t="shared" si="1"/>
        <v>3572841.7610344831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42">
        <f t="shared" si="5"/>
        <v>3572841.7610344831</v>
      </c>
      <c r="AC38" s="37">
        <f>SUM($I38:K38)</f>
        <v>3572841.7610344831</v>
      </c>
      <c r="AD38" s="37">
        <f>SUM($I38:N38)</f>
        <v>3572841.7610344831</v>
      </c>
      <c r="AE38" s="37">
        <f>SUM($I38:Q38)</f>
        <v>3572841.7610344831</v>
      </c>
      <c r="AF38" s="37">
        <f>SUM($I38:T38)</f>
        <v>3572841.7610344831</v>
      </c>
      <c r="AG38" s="37"/>
      <c r="AH38" s="37"/>
      <c r="AI38" s="46">
        <v>939323.05620689667</v>
      </c>
      <c r="AJ38" s="46">
        <v>1183708.0600000003</v>
      </c>
      <c r="AK38" s="46">
        <v>848563.79</v>
      </c>
      <c r="AL38" s="46">
        <v>899658.47</v>
      </c>
      <c r="AM38" s="46">
        <v>900044.5900000002</v>
      </c>
      <c r="AN38" s="46">
        <v>989806.14999999991</v>
      </c>
      <c r="AO38" s="46">
        <v>1005752</v>
      </c>
      <c r="AP38" s="46">
        <v>1003890.1699999999</v>
      </c>
      <c r="AQ38" s="46">
        <v>1019553.24</v>
      </c>
      <c r="AR38" s="46">
        <v>1017025.5545977012</v>
      </c>
      <c r="AS38" s="46">
        <v>996189.55597701133</v>
      </c>
      <c r="AT38" s="46">
        <v>1003735.2699999998</v>
      </c>
      <c r="AU38" s="42">
        <f t="shared" si="6"/>
        <v>11807249.90678161</v>
      </c>
      <c r="AW38" s="37">
        <f t="shared" si="7"/>
        <v>2971594.906206897</v>
      </c>
      <c r="AX38" s="37">
        <f t="shared" si="8"/>
        <v>2789509.2100000004</v>
      </c>
      <c r="AY38" s="37">
        <f t="shared" si="9"/>
        <v>3029195.41</v>
      </c>
      <c r="AZ38" s="37">
        <f t="shared" si="10"/>
        <v>3016950.3805747125</v>
      </c>
      <c r="BA38" s="42">
        <f t="shared" si="11"/>
        <v>29660645.604137935</v>
      </c>
      <c r="BC38" s="37">
        <f>SUM($AI38:AK38)</f>
        <v>2971594.906206897</v>
      </c>
      <c r="BD38" s="37">
        <f>SUM($AI38:AN38)</f>
        <v>5761104.1162068974</v>
      </c>
      <c r="BE38" s="37">
        <f>SUM($AI38:AQ38)</f>
        <v>8790299.5262068976</v>
      </c>
      <c r="BF38" s="37">
        <f>SUM($AI38:AT38)</f>
        <v>11807249.90678161</v>
      </c>
      <c r="BG38" s="37"/>
      <c r="BI38" s="37"/>
    </row>
    <row r="39" spans="2:61" x14ac:dyDescent="0.25">
      <c r="B39" s="7" t="s">
        <v>83</v>
      </c>
      <c r="C39" t="s">
        <v>215</v>
      </c>
      <c r="D39" t="s">
        <v>216</v>
      </c>
      <c r="F39" s="28"/>
      <c r="G39" s="28"/>
      <c r="H39" s="37"/>
      <c r="I39" s="46">
        <v>1965954.2600000005</v>
      </c>
      <c r="J39" s="46">
        <v>1957076.9800000002</v>
      </c>
      <c r="K39" s="46">
        <v>1706100.65</v>
      </c>
      <c r="L39" s="46"/>
      <c r="M39" s="46"/>
      <c r="N39" s="46"/>
      <c r="O39" s="46"/>
      <c r="P39" s="46"/>
      <c r="Q39" s="46"/>
      <c r="R39" s="46"/>
      <c r="S39" s="46"/>
      <c r="T39" s="46"/>
      <c r="U39" s="42">
        <f t="shared" si="0"/>
        <v>5629131.8900000006</v>
      </c>
      <c r="W39" s="37">
        <f t="shared" si="1"/>
        <v>5629131.8900000006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42">
        <f t="shared" si="5"/>
        <v>5629131.8900000006</v>
      </c>
      <c r="AC39" s="37">
        <f>SUM($I39:K39)</f>
        <v>5629131.8900000006</v>
      </c>
      <c r="AD39" s="37">
        <f>SUM($I39:N39)</f>
        <v>5629131.8900000006</v>
      </c>
      <c r="AE39" s="37">
        <f>SUM($I39:Q39)</f>
        <v>5629131.8900000006</v>
      </c>
      <c r="AF39" s="37">
        <f>SUM($I39:T39)</f>
        <v>5629131.8900000006</v>
      </c>
      <c r="AG39" s="37"/>
      <c r="AH39" s="37"/>
      <c r="AI39" s="46">
        <v>1056162.1366666667</v>
      </c>
      <c r="AJ39" s="46">
        <v>1241848.7859770115</v>
      </c>
      <c r="AK39" s="46">
        <v>1094281.3797588295</v>
      </c>
      <c r="AL39" s="46">
        <v>977452.50850114971</v>
      </c>
      <c r="AM39" s="46">
        <v>1311553.2132173066</v>
      </c>
      <c r="AN39" s="46">
        <v>1294618.6973563216</v>
      </c>
      <c r="AO39" s="46">
        <v>1292280</v>
      </c>
      <c r="AP39" s="46">
        <v>1238826.4800000004</v>
      </c>
      <c r="AQ39" s="46">
        <v>1415227.3199999998</v>
      </c>
      <c r="AR39" s="46">
        <v>1428572.2693330739</v>
      </c>
      <c r="AS39" s="46">
        <v>1592049.31</v>
      </c>
      <c r="AT39" s="46">
        <v>1581580.6246551722</v>
      </c>
      <c r="AU39" s="42">
        <f t="shared" si="6"/>
        <v>15524452.725465532</v>
      </c>
      <c r="AW39" s="37">
        <f t="shared" si="7"/>
        <v>3392292.3024025075</v>
      </c>
      <c r="AX39" s="37">
        <f t="shared" si="8"/>
        <v>3583624.4190747784</v>
      </c>
      <c r="AY39" s="37">
        <f t="shared" si="9"/>
        <v>3946333.8</v>
      </c>
      <c r="AZ39" s="37">
        <f t="shared" si="10"/>
        <v>4602202.2039882466</v>
      </c>
      <c r="BA39" s="42">
        <f t="shared" si="11"/>
        <v>39597441.454919308</v>
      </c>
      <c r="BC39" s="37">
        <f>SUM($AI39:AK39)</f>
        <v>3392292.3024025075</v>
      </c>
      <c r="BD39" s="37">
        <f>SUM($AI39:AN39)</f>
        <v>6975916.721477286</v>
      </c>
      <c r="BE39" s="37">
        <f>SUM($AI39:AQ39)</f>
        <v>10922250.521477286</v>
      </c>
      <c r="BF39" s="37">
        <f>SUM($AI39:AT39)</f>
        <v>15524452.725465532</v>
      </c>
      <c r="BG39" s="37"/>
      <c r="BI39" s="37"/>
    </row>
    <row r="40" spans="2:61" x14ac:dyDescent="0.25">
      <c r="B40" s="7" t="s">
        <v>85</v>
      </c>
      <c r="C40" t="s">
        <v>217</v>
      </c>
      <c r="D40" t="s">
        <v>218</v>
      </c>
      <c r="F40" s="28"/>
      <c r="G40" s="28"/>
      <c r="H40" s="37"/>
      <c r="I40" s="46">
        <v>1555296.0866666664</v>
      </c>
      <c r="J40" s="46">
        <v>1581799.2566666666</v>
      </c>
      <c r="K40" s="46">
        <v>1479936.3586666668</v>
      </c>
      <c r="L40" s="46"/>
      <c r="M40" s="46"/>
      <c r="N40" s="46"/>
      <c r="O40" s="46"/>
      <c r="P40" s="46"/>
      <c r="Q40" s="46"/>
      <c r="R40" s="46"/>
      <c r="S40" s="46"/>
      <c r="T40" s="46"/>
      <c r="U40" s="42">
        <f t="shared" si="0"/>
        <v>4617031.7019999996</v>
      </c>
      <c r="W40" s="37">
        <f t="shared" si="1"/>
        <v>4617031.7019999996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42">
        <f t="shared" si="5"/>
        <v>4617031.7019999996</v>
      </c>
      <c r="AC40" s="37">
        <f>SUM($I40:K40)</f>
        <v>4617031.7019999996</v>
      </c>
      <c r="AD40" s="37">
        <f>SUM($I40:N40)</f>
        <v>4617031.7019999996</v>
      </c>
      <c r="AE40" s="37">
        <f>SUM($I40:Q40)</f>
        <v>4617031.7019999996</v>
      </c>
      <c r="AF40" s="37">
        <f>SUM($I40:T40)</f>
        <v>4617031.7019999996</v>
      </c>
      <c r="AG40" s="37"/>
      <c r="AH40" s="37"/>
      <c r="AI40" s="46">
        <v>1585130.7600000002</v>
      </c>
      <c r="AJ40" s="46">
        <v>1407307.4600000002</v>
      </c>
      <c r="AK40" s="46">
        <v>1641408.9799999997</v>
      </c>
      <c r="AL40" s="46">
        <v>1412973.96</v>
      </c>
      <c r="AM40" s="46">
        <v>1290390.3099999996</v>
      </c>
      <c r="AN40" s="46">
        <v>1599302.37</v>
      </c>
      <c r="AO40" s="46">
        <v>1908542</v>
      </c>
      <c r="AP40" s="46">
        <v>2799981.17</v>
      </c>
      <c r="AQ40" s="46">
        <v>1649841.2200000002</v>
      </c>
      <c r="AR40" s="46">
        <v>2401805.63</v>
      </c>
      <c r="AS40" s="46">
        <v>1657174.4100000001</v>
      </c>
      <c r="AT40" s="46">
        <v>1755091.7399999998</v>
      </c>
      <c r="AU40" s="42">
        <f t="shared" si="6"/>
        <v>21108950.009999998</v>
      </c>
      <c r="AW40" s="37">
        <f t="shared" si="7"/>
        <v>4633847.2</v>
      </c>
      <c r="AX40" s="37">
        <f t="shared" si="8"/>
        <v>4302666.6399999997</v>
      </c>
      <c r="AY40" s="37">
        <f t="shared" si="9"/>
        <v>6358364.3900000006</v>
      </c>
      <c r="AZ40" s="37">
        <f t="shared" si="10"/>
        <v>5814071.7799999975</v>
      </c>
      <c r="BA40" s="42">
        <f t="shared" si="11"/>
        <v>54390336.189999998</v>
      </c>
      <c r="BC40" s="37">
        <f>SUM($AI40:AK40)</f>
        <v>4633847.2</v>
      </c>
      <c r="BD40" s="37">
        <f>SUM($AI40:AN40)</f>
        <v>8936513.8399999999</v>
      </c>
      <c r="BE40" s="37">
        <f>SUM($AI40:AQ40)</f>
        <v>15294878.23</v>
      </c>
      <c r="BF40" s="37">
        <f>SUM($AI40:AT40)</f>
        <v>21108950.009999998</v>
      </c>
      <c r="BG40" s="37"/>
      <c r="BI40" s="37"/>
    </row>
    <row r="41" spans="2:61" x14ac:dyDescent="0.25">
      <c r="B41" s="7" t="s">
        <v>76</v>
      </c>
      <c r="C41" t="s">
        <v>253</v>
      </c>
      <c r="D41" t="s">
        <v>246</v>
      </c>
      <c r="E41" t="s">
        <v>247</v>
      </c>
      <c r="F41" t="s">
        <v>248</v>
      </c>
      <c r="G41" t="s">
        <v>130</v>
      </c>
      <c r="H41" s="37"/>
      <c r="I41" s="46">
        <v>2134142.0500000003</v>
      </c>
      <c r="J41" s="46">
        <v>1429877.5499999998</v>
      </c>
      <c r="K41" s="46">
        <v>1593831.67</v>
      </c>
      <c r="L41" s="46"/>
      <c r="M41" s="46"/>
      <c r="N41" s="46"/>
      <c r="O41" s="46"/>
      <c r="P41" s="46"/>
      <c r="Q41" s="46"/>
      <c r="R41" s="46"/>
      <c r="S41" s="46"/>
      <c r="T41" s="46"/>
      <c r="U41" s="42">
        <f>SUM(I41:T41)</f>
        <v>5157851.2699999996</v>
      </c>
      <c r="W41" s="37">
        <f t="shared" si="1"/>
        <v>5157851.2699999996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42">
        <f t="shared" si="5"/>
        <v>5157851.2699999996</v>
      </c>
      <c r="AC41" s="37">
        <f>SUM($I41:K41)</f>
        <v>5157851.2699999996</v>
      </c>
      <c r="AD41" s="37">
        <f>SUM($I41:N41)</f>
        <v>5157851.2699999996</v>
      </c>
      <c r="AE41" s="37">
        <f>SUM($I41:Q41)</f>
        <v>5157851.2699999996</v>
      </c>
      <c r="AF41" s="37">
        <f>SUM($I41:T41)</f>
        <v>5157851.2699999996</v>
      </c>
      <c r="AG41" s="37"/>
      <c r="AH41" s="37"/>
      <c r="AI41" s="46">
        <v>1797224.8655748083</v>
      </c>
      <c r="AJ41" s="46">
        <v>1104975.4099999999</v>
      </c>
      <c r="AK41" s="46">
        <v>1394248.6700000002</v>
      </c>
      <c r="AL41" s="46">
        <v>1275793.1673108803</v>
      </c>
      <c r="AM41" s="48">
        <v>1351731.1199999999</v>
      </c>
      <c r="AN41" s="46">
        <v>1433119.67</v>
      </c>
      <c r="AO41" s="46">
        <v>1442495</v>
      </c>
      <c r="AP41" s="46">
        <v>1526028.69</v>
      </c>
      <c r="AQ41" s="46">
        <v>1503392.8794411409</v>
      </c>
      <c r="AR41" s="46">
        <v>1439530.9599999997</v>
      </c>
      <c r="AS41" s="46">
        <v>1475080.15</v>
      </c>
      <c r="AT41" s="46">
        <v>1898543.8499999999</v>
      </c>
      <c r="AU41" s="42">
        <f>SUM(AI41:AT41)</f>
        <v>17642164.432326827</v>
      </c>
      <c r="AW41" s="37">
        <f t="shared" si="7"/>
        <v>4296448.9455748079</v>
      </c>
      <c r="AX41" s="37">
        <f t="shared" si="8"/>
        <v>4060643.9573108805</v>
      </c>
      <c r="AY41" s="37">
        <f t="shared" si="9"/>
        <v>4471916.5694411397</v>
      </c>
      <c r="AZ41" s="37">
        <f t="shared" si="10"/>
        <v>4813154.959999999</v>
      </c>
      <c r="BA41" s="42">
        <f>SUM(AO41:AZ41)</f>
        <v>44569400.394094795</v>
      </c>
      <c r="BC41" s="37">
        <f>SUM($AI41:AK41)</f>
        <v>4296448.9455748079</v>
      </c>
      <c r="BD41" s="37">
        <f>SUM($AI41:AN41)</f>
        <v>8357092.9028856885</v>
      </c>
      <c r="BE41" s="37">
        <f>SUM($AI41:AQ41)</f>
        <v>12829009.472326828</v>
      </c>
      <c r="BF41" s="37">
        <f>SUM($AI41:AT41)</f>
        <v>17642164.432326827</v>
      </c>
      <c r="BG41" s="37"/>
      <c r="BI41" s="37"/>
    </row>
    <row r="42" spans="2:61" x14ac:dyDescent="0.25">
      <c r="B42" s="7" t="s">
        <v>98</v>
      </c>
      <c r="C42" t="s">
        <v>252</v>
      </c>
      <c r="D42" t="s">
        <v>244</v>
      </c>
      <c r="E42" t="s">
        <v>245</v>
      </c>
      <c r="F42" t="s">
        <v>243</v>
      </c>
      <c r="G42" t="s">
        <v>130</v>
      </c>
      <c r="H42" s="37"/>
      <c r="I42" s="46">
        <v>2613790.3000000003</v>
      </c>
      <c r="J42" s="46">
        <v>2566142.2147586206</v>
      </c>
      <c r="K42" s="46">
        <v>2374538.9999999995</v>
      </c>
      <c r="L42" s="46"/>
      <c r="M42" s="46"/>
      <c r="N42" s="46"/>
      <c r="O42" s="46"/>
      <c r="P42" s="46"/>
      <c r="Q42" s="46"/>
      <c r="R42" s="46"/>
      <c r="S42" s="46"/>
      <c r="T42" s="46"/>
      <c r="U42" s="42">
        <f>SUM(I42:T42)</f>
        <v>7554471.5147586204</v>
      </c>
      <c r="W42" s="37">
        <f t="shared" si="1"/>
        <v>7554471.5147586204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42">
        <f t="shared" si="5"/>
        <v>7554471.5147586204</v>
      </c>
      <c r="AC42" s="37">
        <f>SUM($I42:K42)</f>
        <v>7554471.5147586204</v>
      </c>
      <c r="AD42" s="37">
        <f>SUM($I42:N42)</f>
        <v>7554471.5147586204</v>
      </c>
      <c r="AE42" s="37">
        <f>SUM($I42:Q42)</f>
        <v>7554471.5147586204</v>
      </c>
      <c r="AF42" s="37">
        <f>SUM($I42:T42)</f>
        <v>7554471.5147586204</v>
      </c>
      <c r="AG42" s="37"/>
      <c r="AH42" s="37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2">
        <f>SUM(AI42:AT42)</f>
        <v>0</v>
      </c>
      <c r="AW42" s="37">
        <f t="shared" si="7"/>
        <v>0</v>
      </c>
      <c r="AX42" s="37">
        <f t="shared" si="8"/>
        <v>0</v>
      </c>
      <c r="AY42" s="37">
        <f t="shared" si="9"/>
        <v>0</v>
      </c>
      <c r="AZ42" s="37">
        <f t="shared" si="10"/>
        <v>0</v>
      </c>
      <c r="BA42" s="42">
        <f>SUM(AO42:AZ42)</f>
        <v>0</v>
      </c>
      <c r="BC42" s="37">
        <f>SUM($AI42:AK42)</f>
        <v>0</v>
      </c>
      <c r="BD42" s="37">
        <f>SUM($AI42:AN42)</f>
        <v>0</v>
      </c>
      <c r="BE42" s="37">
        <f>SUM($AI42:AQ42)</f>
        <v>0</v>
      </c>
      <c r="BF42" s="37">
        <f>SUM($AI42:AT42)</f>
        <v>0</v>
      </c>
      <c r="BG42" s="37"/>
      <c r="BI42" s="37"/>
    </row>
    <row r="43" spans="2:61" x14ac:dyDescent="0.25">
      <c r="B43" s="7" t="s">
        <v>101</v>
      </c>
      <c r="C43" t="s">
        <v>251</v>
      </c>
      <c r="D43" t="s">
        <v>241</v>
      </c>
      <c r="E43" t="s">
        <v>242</v>
      </c>
      <c r="F43" t="s">
        <v>243</v>
      </c>
      <c r="G43" t="s">
        <v>130</v>
      </c>
      <c r="H43" s="37"/>
      <c r="I43" s="46">
        <v>697884.42999999993</v>
      </c>
      <c r="J43" s="46">
        <v>740798.64000000013</v>
      </c>
      <c r="K43" s="46">
        <v>730168.48</v>
      </c>
      <c r="L43" s="47"/>
      <c r="M43" s="47"/>
      <c r="N43" s="47"/>
      <c r="O43" s="47"/>
      <c r="P43" s="47"/>
      <c r="Q43" s="47"/>
      <c r="R43" s="46"/>
      <c r="S43" s="46"/>
      <c r="T43" s="46"/>
      <c r="U43" s="42">
        <f>SUM(I43:T43)</f>
        <v>2168851.5499999998</v>
      </c>
      <c r="W43" s="37">
        <f t="shared" si="1"/>
        <v>2168851.5499999998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42">
        <f t="shared" si="5"/>
        <v>2168851.5499999998</v>
      </c>
      <c r="AC43" s="37">
        <f>SUM($I43:K43)</f>
        <v>2168851.5499999998</v>
      </c>
      <c r="AD43" s="37">
        <f>SUM($I43:N43)</f>
        <v>2168851.5499999998</v>
      </c>
      <c r="AE43" s="37">
        <f>SUM($I43:Q43)</f>
        <v>2168851.5499999998</v>
      </c>
      <c r="AF43" s="37">
        <f>SUM($I43:T43)</f>
        <v>2168851.5499999998</v>
      </c>
      <c r="AG43" s="37"/>
      <c r="AH43" s="37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2">
        <f>SUM(AI43:AT43)</f>
        <v>0</v>
      </c>
      <c r="AW43" s="37">
        <f t="shared" si="7"/>
        <v>0</v>
      </c>
      <c r="AX43" s="37">
        <f t="shared" si="8"/>
        <v>0</v>
      </c>
      <c r="AY43" s="37">
        <f t="shared" si="9"/>
        <v>0</v>
      </c>
      <c r="AZ43" s="37">
        <f t="shared" si="10"/>
        <v>0</v>
      </c>
      <c r="BA43" s="42">
        <f>SUM(AO43:AZ43)</f>
        <v>0</v>
      </c>
      <c r="BC43" s="37">
        <f>SUM($AI43:AK43)</f>
        <v>0</v>
      </c>
      <c r="BD43" s="37">
        <f>SUM($AI43:AN43)</f>
        <v>0</v>
      </c>
      <c r="BE43" s="37">
        <f>SUM($AI43:AQ43)</f>
        <v>0</v>
      </c>
      <c r="BF43" s="37">
        <f>SUM($AI43:AT43)</f>
        <v>0</v>
      </c>
      <c r="BG43" s="37"/>
      <c r="BI43" s="37"/>
    </row>
    <row r="44" spans="2:61" ht="15.75" thickBot="1" x14ac:dyDescent="0.3">
      <c r="B44" s="35" t="s">
        <v>226</v>
      </c>
      <c r="C44" s="35"/>
      <c r="D44" s="35"/>
      <c r="E44" s="35"/>
      <c r="F44" s="35"/>
      <c r="G44" s="35"/>
      <c r="H44" s="37"/>
      <c r="I44" s="43">
        <f>SUM(I6:I43)</f>
        <v>101419757.51327093</v>
      </c>
      <c r="J44" s="43">
        <f t="shared" ref="J44:U44" si="12">SUM(J6:J43)</f>
        <v>93920510.079879716</v>
      </c>
      <c r="K44" s="43">
        <f t="shared" si="12"/>
        <v>95258356.852281615</v>
      </c>
      <c r="L44" s="43">
        <f t="shared" si="12"/>
        <v>0</v>
      </c>
      <c r="M44" s="43">
        <f>SUM(M6:M43)</f>
        <v>0</v>
      </c>
      <c r="N44" s="43">
        <f>SUM(N6:N43)</f>
        <v>0</v>
      </c>
      <c r="O44" s="43">
        <f t="shared" si="12"/>
        <v>0</v>
      </c>
      <c r="P44" s="43">
        <f t="shared" si="12"/>
        <v>0</v>
      </c>
      <c r="Q44" s="43">
        <f t="shared" si="12"/>
        <v>0</v>
      </c>
      <c r="R44" s="43">
        <f t="shared" si="12"/>
        <v>0</v>
      </c>
      <c r="S44" s="43">
        <f>SUM(S6:S43)</f>
        <v>0</v>
      </c>
      <c r="T44" s="43">
        <f>SUM(T6:T43)</f>
        <v>0</v>
      </c>
      <c r="U44" s="43">
        <f t="shared" si="12"/>
        <v>290598624.44543231</v>
      </c>
      <c r="W44" s="43">
        <f>SUM(W6:W43)</f>
        <v>290598624.44543231</v>
      </c>
      <c r="X44" s="43">
        <f>SUM(X6:X43)</f>
        <v>0</v>
      </c>
      <c r="Y44" s="43">
        <f>SUM(Y6:Y43)</f>
        <v>0</v>
      </c>
      <c r="Z44" s="43">
        <f>SUM(Z6:Z43)</f>
        <v>0</v>
      </c>
      <c r="AA44" s="43">
        <f>SUM(AA6:AA43)</f>
        <v>290598624.44543231</v>
      </c>
      <c r="AC44" s="43">
        <f>SUM(AC6:AC43)</f>
        <v>290598624.44543231</v>
      </c>
      <c r="AD44" s="43">
        <f>SUM(AD6:AD43)</f>
        <v>290598624.44543231</v>
      </c>
      <c r="AE44" s="43">
        <f>SUM(AE6:AE43)</f>
        <v>290598624.44543231</v>
      </c>
      <c r="AF44" s="43">
        <f>SUM(AF6:AF43)</f>
        <v>290598624.44543231</v>
      </c>
      <c r="AG44" s="37"/>
      <c r="AH44" s="37"/>
      <c r="AI44" s="43">
        <f>SUM(AI6:AI43)</f>
        <v>81242252.830942482</v>
      </c>
      <c r="AJ44" s="43">
        <f t="shared" ref="AJ44:AU44" si="13">SUM(AJ6:AJ43)</f>
        <v>71275955.222973645</v>
      </c>
      <c r="AK44" s="43">
        <f t="shared" si="13"/>
        <v>74733594.520106867</v>
      </c>
      <c r="AL44" s="43">
        <f t="shared" si="13"/>
        <v>78101748.196562558</v>
      </c>
      <c r="AM44" s="43">
        <f t="shared" si="13"/>
        <v>77405046.989019513</v>
      </c>
      <c r="AN44" s="43">
        <f t="shared" si="13"/>
        <v>78637574.153620765</v>
      </c>
      <c r="AO44" s="43">
        <f t="shared" si="13"/>
        <v>81086888.780000001</v>
      </c>
      <c r="AP44" s="43">
        <f t="shared" si="13"/>
        <v>86078219.228356272</v>
      </c>
      <c r="AQ44" s="43">
        <f t="shared" si="13"/>
        <v>88955863.502287254</v>
      </c>
      <c r="AR44" s="43">
        <f t="shared" si="13"/>
        <v>89136105.015813664</v>
      </c>
      <c r="AS44" s="43">
        <f t="shared" si="13"/>
        <v>87416084.070570514</v>
      </c>
      <c r="AT44" s="43">
        <f t="shared" si="13"/>
        <v>93327452.120471865</v>
      </c>
      <c r="AU44" s="43">
        <f t="shared" si="13"/>
        <v>987396784.63072538</v>
      </c>
      <c r="AW44" s="43">
        <f>SUM(AW6:AW43)</f>
        <v>227251802.57402295</v>
      </c>
      <c r="AX44" s="43">
        <f>SUM(AX6:AX43)</f>
        <v>234144369.33920282</v>
      </c>
      <c r="AY44" s="43">
        <f>SUM(AY6:AY43)</f>
        <v>256120971.51064354</v>
      </c>
      <c r="AZ44" s="43">
        <f>SUM(AZ6:AZ43)</f>
        <v>269879641.20685607</v>
      </c>
      <c r="BA44" s="43">
        <f>SUM(BA6:BA43)</f>
        <v>2500794181.978951</v>
      </c>
      <c r="BC44" s="43">
        <f>SUM(BC6:BC43)</f>
        <v>227251802.57402295</v>
      </c>
      <c r="BD44" s="43">
        <f>SUM(BD6:BD43)</f>
        <v>461396171.91322559</v>
      </c>
      <c r="BE44" s="43">
        <f>SUM(BE6:BE43)</f>
        <v>717517143.42386949</v>
      </c>
      <c r="BF44" s="43">
        <f>SUM(BF6:BF43)</f>
        <v>987396784.63072538</v>
      </c>
      <c r="BG44" s="37"/>
    </row>
    <row r="45" spans="2:61" ht="15.75" thickTop="1" x14ac:dyDescent="0.25">
      <c r="H45" s="37"/>
      <c r="I45" s="37"/>
      <c r="J45" s="37"/>
      <c r="K45" s="37"/>
      <c r="L45" s="37"/>
      <c r="M45" s="37"/>
      <c r="N45" s="37"/>
      <c r="O45" s="37"/>
      <c r="P45" s="44"/>
      <c r="Q45" s="44"/>
      <c r="R45" s="44"/>
      <c r="S45" s="44"/>
      <c r="T45" s="44"/>
      <c r="U45" s="44"/>
      <c r="AA45" s="44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44"/>
      <c r="AQ45" s="44"/>
      <c r="AR45" s="44"/>
      <c r="AS45" s="44"/>
      <c r="AT45" s="44"/>
      <c r="AU45" s="44"/>
      <c r="BA45" s="44">
        <f>AU46-BA46</f>
        <v>28660093.75</v>
      </c>
      <c r="BG45" s="37"/>
    </row>
    <row r="46" spans="2:61" x14ac:dyDescent="0.25">
      <c r="B46" s="7" t="s">
        <v>95</v>
      </c>
      <c r="C46" t="s">
        <v>254</v>
      </c>
      <c r="D46" t="s">
        <v>249</v>
      </c>
      <c r="E46" t="s">
        <v>250</v>
      </c>
      <c r="F46" t="s">
        <v>129</v>
      </c>
      <c r="G46" t="s">
        <v>130</v>
      </c>
      <c r="H46" s="37"/>
      <c r="I46" s="46">
        <v>20601795.709999993</v>
      </c>
      <c r="J46" s="46">
        <v>18814636.179999996</v>
      </c>
      <c r="K46" s="46">
        <v>19418557.930000003</v>
      </c>
      <c r="L46" s="46"/>
      <c r="M46" s="46"/>
      <c r="N46" s="46"/>
      <c r="O46" s="46"/>
      <c r="P46" s="46"/>
      <c r="Q46" s="46"/>
      <c r="R46" s="46"/>
      <c r="S46" s="46"/>
      <c r="T46" s="46"/>
      <c r="U46" s="42">
        <f>SUM(I46:T46)</f>
        <v>58834989.819999993</v>
      </c>
      <c r="W46" s="37">
        <f>AC46</f>
        <v>58834989.819999993</v>
      </c>
      <c r="X46" s="37">
        <f t="shared" ref="X46:Z48" si="14">AD46-AC46</f>
        <v>0</v>
      </c>
      <c r="Y46" s="37">
        <f t="shared" si="14"/>
        <v>0</v>
      </c>
      <c r="Z46" s="37">
        <f t="shared" si="14"/>
        <v>0</v>
      </c>
      <c r="AA46" s="42">
        <f>SUM(W46:Z46)</f>
        <v>58834989.819999993</v>
      </c>
      <c r="AC46" s="37">
        <f>SUM($I46:K46)-SUM('Ingresos Arrendamiento'!W49:W49)</f>
        <v>58834989.819999993</v>
      </c>
      <c r="AD46" s="37">
        <f>SUM($I46:N46)-SUM('Ingresos Arrendamiento'!W49:X49)</f>
        <v>58834989.819999993</v>
      </c>
      <c r="AE46" s="37">
        <f>SUM($I46:Q46)-SUM('Ingresos Arrendamiento'!W49:Y49)</f>
        <v>58834989.819999993</v>
      </c>
      <c r="AF46" s="37">
        <f>SUM($I46:T46)-SUM('Ingresos Arrendamiento'!W49:Z49)</f>
        <v>58834989.819999993</v>
      </c>
      <c r="AG46" s="37"/>
      <c r="AH46" s="37"/>
      <c r="AI46" s="46">
        <v>15959599.404212618</v>
      </c>
      <c r="AJ46" s="46">
        <v>15566682.470072612</v>
      </c>
      <c r="AK46" s="46">
        <v>17350791.069999997</v>
      </c>
      <c r="AL46" s="46">
        <v>17003341.909999996</v>
      </c>
      <c r="AM46" s="48">
        <v>16979322.409933977</v>
      </c>
      <c r="AN46" s="46">
        <v>17110858.339999996</v>
      </c>
      <c r="AO46" s="46">
        <v>15880091</v>
      </c>
      <c r="AP46" s="46">
        <v>19551895.049999997</v>
      </c>
      <c r="AQ46" s="46">
        <v>22059660.545807999</v>
      </c>
      <c r="AR46" s="46">
        <v>21249786.810000002</v>
      </c>
      <c r="AS46" s="46">
        <v>18415590.560000002</v>
      </c>
      <c r="AT46" s="46">
        <v>21214479.93</v>
      </c>
      <c r="AU46" s="42">
        <f>SUM(AI46:AT46)</f>
        <v>218342099.50002721</v>
      </c>
      <c r="AW46" s="37">
        <f>BC46</f>
        <v>36574097.754285231</v>
      </c>
      <c r="AX46" s="37">
        <f t="shared" ref="AX46:AZ48" si="15">BD46-BC46</f>
        <v>47712797.099933967</v>
      </c>
      <c r="AY46" s="37">
        <f t="shared" si="15"/>
        <v>51284694.595807999</v>
      </c>
      <c r="AZ46" s="37">
        <f t="shared" si="15"/>
        <v>54110416.300000012</v>
      </c>
      <c r="BA46" s="42">
        <f>SUM(AW46:AZ46)</f>
        <v>189682005.75002721</v>
      </c>
      <c r="BC46" s="37">
        <f>SUM($AI46:AK46)-SUM('Ingresos Arrendamiento'!$BG49:BG49)</f>
        <v>36574097.754285231</v>
      </c>
      <c r="BD46" s="37">
        <f>SUM($AI46:AN46)-SUM('Ingresos Arrendamiento'!$BG49:BH49)</f>
        <v>84286894.854219198</v>
      </c>
      <c r="BE46" s="37">
        <f>SUM($AI46:AQ46)-SUM('Ingresos Arrendamiento'!$BG49:BI49)</f>
        <v>135571589.4500272</v>
      </c>
      <c r="BF46" s="37">
        <f>SUM($AI46:AT46)-SUM('Ingresos Arrendamiento'!$BG49:BJ49)</f>
        <v>189682005.75002721</v>
      </c>
      <c r="BG46" s="37"/>
      <c r="BI46" s="37"/>
    </row>
    <row r="47" spans="2:61" x14ac:dyDescent="0.25">
      <c r="B47" s="7"/>
      <c r="H47" s="37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2">
        <f>SUM(I47:T47)</f>
        <v>0</v>
      </c>
      <c r="W47" s="37">
        <f>AC47</f>
        <v>0</v>
      </c>
      <c r="X47" s="37">
        <f t="shared" si="14"/>
        <v>0</v>
      </c>
      <c r="Y47" s="37">
        <f t="shared" si="14"/>
        <v>0</v>
      </c>
      <c r="Z47" s="37">
        <f t="shared" si="14"/>
        <v>0</v>
      </c>
      <c r="AA47" s="42">
        <f>SUM(W47:Z47)</f>
        <v>0</v>
      </c>
      <c r="AC47" s="37">
        <f>SUM($I47:K47)</f>
        <v>0</v>
      </c>
      <c r="AD47" s="37">
        <f>SUM($I47:N47)</f>
        <v>0</v>
      </c>
      <c r="AE47" s="37">
        <f>SUM($I47:Q47)</f>
        <v>0</v>
      </c>
      <c r="AF47" s="37">
        <f>SUM($I47:T47)</f>
        <v>0</v>
      </c>
      <c r="AG47" s="37"/>
      <c r="AH47" s="37"/>
      <c r="AI47" s="46">
        <v>2573679.3165990566</v>
      </c>
      <c r="AJ47" s="46">
        <v>1910714.1899999995</v>
      </c>
      <c r="AK47" s="46">
        <v>2160368.719615249</v>
      </c>
      <c r="AL47" s="46">
        <v>2494236.69</v>
      </c>
      <c r="AM47" s="46">
        <v>2209273.12</v>
      </c>
      <c r="AN47" s="46">
        <v>2416690.9799999995</v>
      </c>
      <c r="AO47" s="46">
        <v>2439381</v>
      </c>
      <c r="AP47" s="46">
        <v>2464777.413286936</v>
      </c>
      <c r="AQ47" s="46">
        <v>2427556.9300000002</v>
      </c>
      <c r="AR47" s="46">
        <v>2430579.3200000003</v>
      </c>
      <c r="AS47" s="46">
        <v>2408564.2599999998</v>
      </c>
      <c r="AT47" s="46">
        <v>2616856.6599999997</v>
      </c>
      <c r="AU47" s="42">
        <f>SUM(AI47:AT47)</f>
        <v>28552678.599501241</v>
      </c>
      <c r="AW47" s="37">
        <f>BC47</f>
        <v>6644762.2262143046</v>
      </c>
      <c r="AX47" s="37">
        <f t="shared" si="15"/>
        <v>7120200.7899999991</v>
      </c>
      <c r="AY47" s="37">
        <f t="shared" si="15"/>
        <v>7331715.3432869352</v>
      </c>
      <c r="AZ47" s="37">
        <f t="shared" si="15"/>
        <v>7456000.2400000021</v>
      </c>
      <c r="BA47" s="42">
        <f>SUM(AW47:AZ47)</f>
        <v>28552678.599501241</v>
      </c>
      <c r="BC47" s="37">
        <f>SUM($AI47:AK47)</f>
        <v>6644762.2262143046</v>
      </c>
      <c r="BD47" s="37">
        <f>SUM($AI47:AN47)</f>
        <v>13764963.016214304</v>
      </c>
      <c r="BE47" s="37">
        <f>SUM($AI47:AQ47)</f>
        <v>21096678.359501239</v>
      </c>
      <c r="BF47" s="37">
        <f>SUM($AI47:AT47)</f>
        <v>28552678.599501241</v>
      </c>
      <c r="BG47" s="37"/>
      <c r="BI47" s="37"/>
    </row>
    <row r="48" spans="2:61" x14ac:dyDescent="0.25">
      <c r="B48" s="7"/>
      <c r="H48" s="37"/>
      <c r="I48" s="46"/>
      <c r="J48" s="46"/>
      <c r="K48" s="46"/>
      <c r="L48" s="46"/>
      <c r="M48" s="46"/>
      <c r="N48" s="46"/>
      <c r="O48" s="37"/>
      <c r="P48" s="44"/>
      <c r="Q48" s="44"/>
      <c r="R48" s="46"/>
      <c r="S48" s="46"/>
      <c r="T48" s="46"/>
      <c r="U48" s="42">
        <f>SUM(I48:T48)</f>
        <v>0</v>
      </c>
      <c r="W48" s="37">
        <f>AC48</f>
        <v>0</v>
      </c>
      <c r="X48" s="37">
        <f t="shared" si="14"/>
        <v>0</v>
      </c>
      <c r="Y48" s="37">
        <f t="shared" si="14"/>
        <v>0</v>
      </c>
      <c r="Z48" s="37">
        <f t="shared" si="14"/>
        <v>0</v>
      </c>
      <c r="AA48" s="42">
        <f>SUM(W48:Z48)</f>
        <v>0</v>
      </c>
      <c r="AC48" s="37">
        <f>SUM($I48:K48)</f>
        <v>0</v>
      </c>
      <c r="AD48" s="37">
        <f>SUM($I48:N48)</f>
        <v>0</v>
      </c>
      <c r="AE48" s="37">
        <f>SUM($I48:Q48)</f>
        <v>0</v>
      </c>
      <c r="AF48" s="37">
        <f>SUM($I48:T48)</f>
        <v>0</v>
      </c>
      <c r="AG48" s="37"/>
      <c r="AH48" s="37"/>
      <c r="AI48" s="37">
        <v>764781.23971724126</v>
      </c>
      <c r="AJ48" s="37">
        <v>760748.46249999991</v>
      </c>
      <c r="AK48" s="37">
        <v>790741.46</v>
      </c>
      <c r="AL48" s="37">
        <v>787609.86</v>
      </c>
      <c r="AM48" s="37">
        <v>781538.69</v>
      </c>
      <c r="AN48" s="37">
        <v>771485.23</v>
      </c>
      <c r="AO48" s="37">
        <v>785367</v>
      </c>
      <c r="AP48" s="44">
        <v>751921.23</v>
      </c>
      <c r="AQ48" s="44">
        <v>763291.12</v>
      </c>
      <c r="AR48" s="46">
        <v>745363.36</v>
      </c>
      <c r="AS48" s="46">
        <v>635460.80999999982</v>
      </c>
      <c r="AT48" s="46">
        <v>607166.24000000011</v>
      </c>
      <c r="AU48" s="42">
        <f>SUM(AI48:AT48)</f>
        <v>8945474.7022172399</v>
      </c>
      <c r="AW48" s="37">
        <f>BC48</f>
        <v>2316271.1622172412</v>
      </c>
      <c r="AX48" s="37">
        <f t="shared" si="15"/>
        <v>2340633.7799999998</v>
      </c>
      <c r="AY48" s="37">
        <f t="shared" si="15"/>
        <v>2300579.3499999996</v>
      </c>
      <c r="AZ48" s="37">
        <f t="shared" si="15"/>
        <v>1987990.4099999992</v>
      </c>
      <c r="BA48" s="42">
        <f>SUM(AW48:AZ48)</f>
        <v>8945474.7022172399</v>
      </c>
      <c r="BC48" s="37">
        <f>SUM($AI48:AK48)</f>
        <v>2316271.1622172412</v>
      </c>
      <c r="BD48" s="37">
        <f>SUM($AI48:AN48)</f>
        <v>4656904.942217241</v>
      </c>
      <c r="BE48" s="37">
        <f>SUM($AI48:AQ48)</f>
        <v>6957484.2922172407</v>
      </c>
      <c r="BF48" s="37">
        <f>SUM($AI48:AT48)</f>
        <v>8945474.7022172399</v>
      </c>
      <c r="BG48" s="37"/>
      <c r="BI48" s="37"/>
    </row>
    <row r="49" spans="1:59" ht="15.75" thickBot="1" x14ac:dyDescent="0.3">
      <c r="B49" s="35" t="s">
        <v>227</v>
      </c>
      <c r="C49" s="35"/>
      <c r="D49" s="35"/>
      <c r="E49" s="35"/>
      <c r="F49" s="35"/>
      <c r="G49" s="35"/>
      <c r="H49" s="37"/>
      <c r="I49" s="43">
        <f t="shared" ref="I49:U49" si="16">SUM(I46:I48)</f>
        <v>20601795.709999993</v>
      </c>
      <c r="J49" s="43">
        <f t="shared" si="16"/>
        <v>18814636.179999996</v>
      </c>
      <c r="K49" s="43">
        <f t="shared" si="16"/>
        <v>19418557.930000003</v>
      </c>
      <c r="L49" s="43">
        <f t="shared" si="16"/>
        <v>0</v>
      </c>
      <c r="M49" s="43">
        <f>SUM(M46:M48)</f>
        <v>0</v>
      </c>
      <c r="N49" s="43">
        <f>SUM(N46:N48)</f>
        <v>0</v>
      </c>
      <c r="O49" s="43">
        <f t="shared" si="16"/>
        <v>0</v>
      </c>
      <c r="P49" s="43">
        <f t="shared" si="16"/>
        <v>0</v>
      </c>
      <c r="Q49" s="43">
        <f t="shared" si="16"/>
        <v>0</v>
      </c>
      <c r="R49" s="43">
        <f t="shared" si="16"/>
        <v>0</v>
      </c>
      <c r="S49" s="43">
        <f t="shared" si="16"/>
        <v>0</v>
      </c>
      <c r="T49" s="43">
        <f t="shared" si="16"/>
        <v>0</v>
      </c>
      <c r="U49" s="43">
        <f t="shared" si="16"/>
        <v>58834989.819999993</v>
      </c>
      <c r="W49" s="43">
        <f>SUM(W46:W48)</f>
        <v>58834989.819999993</v>
      </c>
      <c r="X49" s="43">
        <f>SUM(X46:X48)</f>
        <v>0</v>
      </c>
      <c r="Y49" s="43">
        <f>SUM(Y46:Y48)</f>
        <v>0</v>
      </c>
      <c r="Z49" s="43">
        <f>SUM(Z46:Z48)</f>
        <v>0</v>
      </c>
      <c r="AA49" s="43">
        <f>SUM(AA46:AA48)</f>
        <v>58834989.819999993</v>
      </c>
      <c r="AC49" s="43">
        <f>SUM(AC46:AC48)</f>
        <v>58834989.819999993</v>
      </c>
      <c r="AD49" s="43">
        <f>SUM(AD46:AD48)</f>
        <v>58834989.819999993</v>
      </c>
      <c r="AE49" s="43">
        <f>SUM(AE46:AE48)</f>
        <v>58834989.819999993</v>
      </c>
      <c r="AF49" s="43">
        <f>SUM(AF46:AF48)</f>
        <v>58834989.819999993</v>
      </c>
      <c r="AG49" s="37"/>
      <c r="AH49" s="37"/>
      <c r="AI49" s="43">
        <f t="shared" ref="AI49:AU49" si="17">SUM(AI46:AI48)</f>
        <v>19298059.960528918</v>
      </c>
      <c r="AJ49" s="43">
        <f t="shared" si="17"/>
        <v>18238145.122572608</v>
      </c>
      <c r="AK49" s="43">
        <f t="shared" si="17"/>
        <v>20301901.249615245</v>
      </c>
      <c r="AL49" s="43">
        <f t="shared" si="17"/>
        <v>20285188.459999997</v>
      </c>
      <c r="AM49" s="43">
        <f t="shared" si="17"/>
        <v>19970134.219933979</v>
      </c>
      <c r="AN49" s="43">
        <f t="shared" si="17"/>
        <v>20299034.549999997</v>
      </c>
      <c r="AO49" s="43">
        <f t="shared" si="17"/>
        <v>19104839</v>
      </c>
      <c r="AP49" s="43">
        <f t="shared" si="17"/>
        <v>22768593.693286933</v>
      </c>
      <c r="AQ49" s="43">
        <f t="shared" si="17"/>
        <v>25250508.595807999</v>
      </c>
      <c r="AR49" s="43">
        <f t="shared" si="17"/>
        <v>24425729.490000002</v>
      </c>
      <c r="AS49" s="43">
        <f t="shared" si="17"/>
        <v>21459615.629999999</v>
      </c>
      <c r="AT49" s="43">
        <f t="shared" si="17"/>
        <v>24438502.829999998</v>
      </c>
      <c r="AU49" s="43">
        <f t="shared" si="17"/>
        <v>255840252.80174571</v>
      </c>
      <c r="AW49" s="43">
        <f>SUM(AW46:AW48)</f>
        <v>45535131.14271678</v>
      </c>
      <c r="AX49" s="43">
        <f>SUM(AX46:AX48)</f>
        <v>57173631.669933967</v>
      </c>
      <c r="AY49" s="43">
        <f>SUM(AY46:AY48)</f>
        <v>60916989.289094932</v>
      </c>
      <c r="AZ49" s="43">
        <f>SUM(AZ46:AZ48)</f>
        <v>63554406.95000001</v>
      </c>
      <c r="BA49" s="43">
        <f>SUM(BA46:BA48)</f>
        <v>227180159.05174571</v>
      </c>
      <c r="BC49" s="43">
        <f>SUM(BC46:BC48)</f>
        <v>45535131.14271678</v>
      </c>
      <c r="BD49" s="43">
        <f>SUM(BD46:BD48)</f>
        <v>102708762.81265076</v>
      </c>
      <c r="BE49" s="43">
        <f>SUM(BE46:BE48)</f>
        <v>163625752.10174569</v>
      </c>
      <c r="BF49" s="43">
        <f>SUM(BF46:BF48)</f>
        <v>227180159.05174571</v>
      </c>
      <c r="BG49" s="37"/>
    </row>
    <row r="50" spans="1:59" ht="15.75" thickTop="1" x14ac:dyDescent="0.25"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AA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BA50" s="37"/>
      <c r="BG50" s="37"/>
    </row>
    <row r="51" spans="1:59" ht="15.75" thickBot="1" x14ac:dyDescent="0.3">
      <c r="B51" s="35" t="s">
        <v>228</v>
      </c>
      <c r="C51" s="35"/>
      <c r="D51" s="35"/>
      <c r="E51" s="35"/>
      <c r="F51" s="35"/>
      <c r="G51" s="35"/>
      <c r="H51" s="37"/>
      <c r="I51" s="43">
        <f t="shared" ref="I51:U51" si="18">+I44+I49</f>
        <v>122021553.22327092</v>
      </c>
      <c r="J51" s="43">
        <f t="shared" si="18"/>
        <v>112735146.25987971</v>
      </c>
      <c r="K51" s="43">
        <f t="shared" si="18"/>
        <v>114676914.78228162</v>
      </c>
      <c r="L51" s="43">
        <f t="shared" si="18"/>
        <v>0</v>
      </c>
      <c r="M51" s="43">
        <f t="shared" si="18"/>
        <v>0</v>
      </c>
      <c r="N51" s="43">
        <f t="shared" si="18"/>
        <v>0</v>
      </c>
      <c r="O51" s="43">
        <f t="shared" si="18"/>
        <v>0</v>
      </c>
      <c r="P51" s="43">
        <f t="shared" si="18"/>
        <v>0</v>
      </c>
      <c r="Q51" s="43">
        <f t="shared" si="18"/>
        <v>0</v>
      </c>
      <c r="R51" s="43">
        <f t="shared" si="18"/>
        <v>0</v>
      </c>
      <c r="S51" s="43">
        <f t="shared" si="18"/>
        <v>0</v>
      </c>
      <c r="T51" s="43">
        <f t="shared" si="18"/>
        <v>0</v>
      </c>
      <c r="U51" s="43">
        <f t="shared" si="18"/>
        <v>349433614.2654323</v>
      </c>
      <c r="W51" s="43">
        <f>+W44+W49</f>
        <v>349433614.2654323</v>
      </c>
      <c r="X51" s="43">
        <f>+X44+X49</f>
        <v>0</v>
      </c>
      <c r="Y51" s="43">
        <f>+Y44+Y49</f>
        <v>0</v>
      </c>
      <c r="Z51" s="43">
        <f>+Z44+Z49</f>
        <v>0</v>
      </c>
      <c r="AA51" s="43">
        <f>+AA44+AA49</f>
        <v>349433614.2654323</v>
      </c>
      <c r="AC51" s="43">
        <f>+AC44+AC49</f>
        <v>349433614.2654323</v>
      </c>
      <c r="AD51" s="43">
        <f>+AD44+AD49</f>
        <v>349433614.2654323</v>
      </c>
      <c r="AE51" s="43">
        <f>+AE44+AE49</f>
        <v>349433614.2654323</v>
      </c>
      <c r="AF51" s="43">
        <f>+AF44+AF49</f>
        <v>349433614.2654323</v>
      </c>
      <c r="AG51" s="37"/>
      <c r="AH51" s="37"/>
      <c r="AI51" s="43">
        <f t="shared" ref="AI51:AU51" si="19">+AI44+AI49</f>
        <v>100540312.79147139</v>
      </c>
      <c r="AJ51" s="43">
        <f t="shared" si="19"/>
        <v>89514100.345546246</v>
      </c>
      <c r="AK51" s="43">
        <f t="shared" si="19"/>
        <v>95035495.769722104</v>
      </c>
      <c r="AL51" s="43">
        <f t="shared" si="19"/>
        <v>98386936.656562552</v>
      </c>
      <c r="AM51" s="43">
        <f t="shared" si="19"/>
        <v>97375181.2089535</v>
      </c>
      <c r="AN51" s="43">
        <f t="shared" si="19"/>
        <v>98936608.703620762</v>
      </c>
      <c r="AO51" s="43">
        <f t="shared" si="19"/>
        <v>100191727.78</v>
      </c>
      <c r="AP51" s="43">
        <f t="shared" si="19"/>
        <v>108846812.9216432</v>
      </c>
      <c r="AQ51" s="43">
        <f t="shared" si="19"/>
        <v>114206372.09809525</v>
      </c>
      <c r="AR51" s="43">
        <f t="shared" si="19"/>
        <v>113561834.50581366</v>
      </c>
      <c r="AS51" s="43">
        <f t="shared" si="19"/>
        <v>108875699.70057051</v>
      </c>
      <c r="AT51" s="43">
        <f t="shared" si="19"/>
        <v>117765954.95047186</v>
      </c>
      <c r="AU51" s="43">
        <f t="shared" si="19"/>
        <v>1243237037.432471</v>
      </c>
      <c r="AW51" s="43">
        <f>+AW44+AW49</f>
        <v>272786933.71673971</v>
      </c>
      <c r="AX51" s="43">
        <f>+AX44+AX49</f>
        <v>291318001.0091368</v>
      </c>
      <c r="AY51" s="43">
        <f>+AY44+AY49</f>
        <v>317037960.79973847</v>
      </c>
      <c r="AZ51" s="43">
        <f>+AZ44+AZ49</f>
        <v>333434048.15685606</v>
      </c>
      <c r="BA51" s="43">
        <f>+BA44+BA49</f>
        <v>2727974341.0306969</v>
      </c>
      <c r="BC51" s="43">
        <f>+BC44+BC49</f>
        <v>272786933.71673971</v>
      </c>
      <c r="BD51" s="43">
        <f>+BD44+BD49</f>
        <v>564104934.72587633</v>
      </c>
      <c r="BE51" s="43">
        <f>+BE44+BE49</f>
        <v>881142895.52561522</v>
      </c>
      <c r="BF51" s="43">
        <f>+BF44+BF49</f>
        <v>1214576943.682471</v>
      </c>
      <c r="BG51" s="37"/>
    </row>
    <row r="52" spans="1:59" ht="15.75" thickTop="1" x14ac:dyDescent="0.25"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AA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BA52" s="37"/>
      <c r="BG52" s="37"/>
    </row>
    <row r="53" spans="1:59" x14ac:dyDescent="0.25"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AA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BA53" s="37"/>
      <c r="BG53" s="37"/>
    </row>
    <row r="54" spans="1:59" x14ac:dyDescent="0.25">
      <c r="A54" s="49">
        <v>0.4</v>
      </c>
      <c r="B54" s="7" t="s">
        <v>95</v>
      </c>
      <c r="C54" t="s">
        <v>254</v>
      </c>
      <c r="D54" t="s">
        <v>249</v>
      </c>
      <c r="E54" t="s">
        <v>250</v>
      </c>
      <c r="F54" t="s">
        <v>129</v>
      </c>
      <c r="G54" t="s">
        <v>130</v>
      </c>
      <c r="H54" s="37"/>
      <c r="I54" s="37">
        <f>I46*$A54</f>
        <v>8240718.2839999981</v>
      </c>
      <c r="J54" s="37">
        <f t="shared" ref="J54:T54" si="20">J46*$A54</f>
        <v>7525854.4719999991</v>
      </c>
      <c r="K54" s="37">
        <f t="shared" si="20"/>
        <v>7767423.1720000021</v>
      </c>
      <c r="L54" s="37">
        <f t="shared" si="20"/>
        <v>0</v>
      </c>
      <c r="M54" s="37">
        <f t="shared" si="20"/>
        <v>0</v>
      </c>
      <c r="N54" s="37">
        <f t="shared" si="20"/>
        <v>0</v>
      </c>
      <c r="O54" s="37">
        <f t="shared" si="20"/>
        <v>0</v>
      </c>
      <c r="P54" s="37">
        <f t="shared" si="20"/>
        <v>0</v>
      </c>
      <c r="Q54" s="37">
        <f t="shared" si="20"/>
        <v>0</v>
      </c>
      <c r="R54" s="37">
        <f t="shared" si="20"/>
        <v>0</v>
      </c>
      <c r="S54" s="37">
        <f t="shared" si="20"/>
        <v>0</v>
      </c>
      <c r="T54" s="37">
        <f t="shared" si="20"/>
        <v>0</v>
      </c>
      <c r="U54" s="42">
        <f>SUM(I54:T54)</f>
        <v>23533995.927999999</v>
      </c>
      <c r="W54" s="37">
        <f t="shared" ref="W54:Z56" si="21">W46*$A54</f>
        <v>23533995.927999999</v>
      </c>
      <c r="X54" s="37">
        <f t="shared" si="21"/>
        <v>0</v>
      </c>
      <c r="Y54" s="37">
        <f t="shared" si="21"/>
        <v>0</v>
      </c>
      <c r="Z54" s="37">
        <f t="shared" si="21"/>
        <v>0</v>
      </c>
      <c r="AA54" s="42">
        <f>SUM(W54:Z54)</f>
        <v>23533995.927999999</v>
      </c>
      <c r="AC54" s="37">
        <f t="shared" ref="AC54:AF56" si="22">AC46*$A54</f>
        <v>23533995.927999999</v>
      </c>
      <c r="AD54" s="37">
        <f t="shared" si="22"/>
        <v>23533995.927999999</v>
      </c>
      <c r="AE54" s="37">
        <f t="shared" si="22"/>
        <v>23533995.927999999</v>
      </c>
      <c r="AF54" s="37">
        <f t="shared" si="22"/>
        <v>23533995.927999999</v>
      </c>
      <c r="AG54" s="37"/>
      <c r="AH54" s="37"/>
      <c r="AI54" s="37">
        <f>AI46*$A54</f>
        <v>6383839.7616850473</v>
      </c>
      <c r="AJ54" s="37">
        <f t="shared" ref="AJ54:AT54" si="23">AJ46*$A54</f>
        <v>6226672.9880290451</v>
      </c>
      <c r="AK54" s="37">
        <f t="shared" si="23"/>
        <v>6940316.4279999994</v>
      </c>
      <c r="AL54" s="37">
        <f t="shared" si="23"/>
        <v>6801336.7639999986</v>
      </c>
      <c r="AM54" s="37">
        <f t="shared" si="23"/>
        <v>6791728.9639735911</v>
      </c>
      <c r="AN54" s="37">
        <f t="shared" si="23"/>
        <v>6844343.3359999992</v>
      </c>
      <c r="AO54" s="37">
        <f t="shared" si="23"/>
        <v>6352036.4000000004</v>
      </c>
      <c r="AP54" s="37">
        <f t="shared" si="23"/>
        <v>7820758.0199999996</v>
      </c>
      <c r="AQ54" s="37">
        <f t="shared" si="23"/>
        <v>8823864.2183231991</v>
      </c>
      <c r="AR54" s="37">
        <f t="shared" si="23"/>
        <v>8499914.7240000013</v>
      </c>
      <c r="AS54" s="37">
        <f t="shared" si="23"/>
        <v>7366236.2240000013</v>
      </c>
      <c r="AT54" s="37">
        <f t="shared" si="23"/>
        <v>8485791.972000001</v>
      </c>
      <c r="AU54" s="42">
        <f>SUM(AI54:AT54)</f>
        <v>87336839.800010905</v>
      </c>
      <c r="AW54" s="37">
        <f t="shared" ref="AW54:AZ56" si="24">AW46*$A54</f>
        <v>14629639.101714093</v>
      </c>
      <c r="AX54" s="37">
        <f t="shared" si="24"/>
        <v>19085118.839973588</v>
      </c>
      <c r="AY54" s="37">
        <f t="shared" si="24"/>
        <v>20513877.838323202</v>
      </c>
      <c r="AZ54" s="37">
        <f t="shared" si="24"/>
        <v>21644166.520000007</v>
      </c>
      <c r="BA54" s="42">
        <f>SUM(AW54:AZ54)</f>
        <v>75872802.30001089</v>
      </c>
      <c r="BC54" s="37">
        <f t="shared" ref="BC54:BF56" si="25">BC46*$A54</f>
        <v>14629639.101714093</v>
      </c>
      <c r="BD54" s="37">
        <f t="shared" si="25"/>
        <v>33714757.941687681</v>
      </c>
      <c r="BE54" s="37">
        <f t="shared" si="25"/>
        <v>54228635.780010879</v>
      </c>
      <c r="BF54" s="37">
        <f t="shared" si="25"/>
        <v>75872802.30001089</v>
      </c>
      <c r="BG54" s="37"/>
    </row>
    <row r="55" spans="1:59" x14ac:dyDescent="0.25">
      <c r="A55" s="49">
        <v>0.05</v>
      </c>
      <c r="B55" s="7" t="s">
        <v>98</v>
      </c>
      <c r="C55" t="s">
        <v>252</v>
      </c>
      <c r="D55" t="s">
        <v>244</v>
      </c>
      <c r="E55" t="s">
        <v>245</v>
      </c>
      <c r="F55" t="s">
        <v>243</v>
      </c>
      <c r="G55" t="s">
        <v>130</v>
      </c>
      <c r="H55" s="37"/>
      <c r="I55" s="37">
        <f t="shared" ref="I55:T55" si="26">I47*$A55</f>
        <v>0</v>
      </c>
      <c r="J55" s="37">
        <f t="shared" si="26"/>
        <v>0</v>
      </c>
      <c r="K55" s="37">
        <f t="shared" si="26"/>
        <v>0</v>
      </c>
      <c r="L55" s="37">
        <f t="shared" si="26"/>
        <v>0</v>
      </c>
      <c r="M55" s="37">
        <f t="shared" si="26"/>
        <v>0</v>
      </c>
      <c r="N55" s="37">
        <f t="shared" si="26"/>
        <v>0</v>
      </c>
      <c r="O55" s="37">
        <f t="shared" si="26"/>
        <v>0</v>
      </c>
      <c r="P55" s="37">
        <f t="shared" si="26"/>
        <v>0</v>
      </c>
      <c r="Q55" s="37">
        <f t="shared" si="26"/>
        <v>0</v>
      </c>
      <c r="R55" s="37">
        <f t="shared" si="26"/>
        <v>0</v>
      </c>
      <c r="S55" s="37">
        <f t="shared" si="26"/>
        <v>0</v>
      </c>
      <c r="T55" s="37">
        <f t="shared" si="26"/>
        <v>0</v>
      </c>
      <c r="U55" s="42">
        <f>SUM(I55:T55)</f>
        <v>0</v>
      </c>
      <c r="W55" s="37">
        <f t="shared" si="21"/>
        <v>0</v>
      </c>
      <c r="X55" s="37">
        <f t="shared" si="21"/>
        <v>0</v>
      </c>
      <c r="Y55" s="37">
        <f t="shared" si="21"/>
        <v>0</v>
      </c>
      <c r="Z55" s="37">
        <f t="shared" si="21"/>
        <v>0</v>
      </c>
      <c r="AA55" s="42">
        <f>SUM(W55:Z55)</f>
        <v>0</v>
      </c>
      <c r="AC55" s="37">
        <f t="shared" si="22"/>
        <v>0</v>
      </c>
      <c r="AD55" s="37">
        <f t="shared" si="22"/>
        <v>0</v>
      </c>
      <c r="AE55" s="37">
        <f t="shared" si="22"/>
        <v>0</v>
      </c>
      <c r="AF55" s="37">
        <f t="shared" si="22"/>
        <v>0</v>
      </c>
      <c r="AG55" s="37"/>
      <c r="AH55" s="37"/>
      <c r="AI55" s="37">
        <f t="shared" ref="AI55:AT55" si="27">AI47*$A55</f>
        <v>128683.96582995284</v>
      </c>
      <c r="AJ55" s="37">
        <f t="shared" si="27"/>
        <v>95535.709499999983</v>
      </c>
      <c r="AK55" s="37">
        <f t="shared" si="27"/>
        <v>108018.43598076246</v>
      </c>
      <c r="AL55" s="37">
        <f t="shared" si="27"/>
        <v>124711.8345</v>
      </c>
      <c r="AM55" s="37">
        <f t="shared" si="27"/>
        <v>110463.65600000002</v>
      </c>
      <c r="AN55" s="37">
        <f t="shared" si="27"/>
        <v>120834.54899999998</v>
      </c>
      <c r="AO55" s="37">
        <f t="shared" si="27"/>
        <v>121969.05</v>
      </c>
      <c r="AP55" s="37">
        <f t="shared" si="27"/>
        <v>123238.8706643468</v>
      </c>
      <c r="AQ55" s="37">
        <f t="shared" si="27"/>
        <v>121377.84650000001</v>
      </c>
      <c r="AR55" s="37">
        <f t="shared" si="27"/>
        <v>121528.96600000001</v>
      </c>
      <c r="AS55" s="37">
        <f t="shared" si="27"/>
        <v>120428.21299999999</v>
      </c>
      <c r="AT55" s="37">
        <f t="shared" si="27"/>
        <v>130842.83299999998</v>
      </c>
      <c r="AU55" s="42">
        <f>SUM(AI55:AT55)</f>
        <v>1427633.9299750621</v>
      </c>
      <c r="AW55" s="37">
        <f t="shared" si="24"/>
        <v>332238.11131071526</v>
      </c>
      <c r="AX55" s="37">
        <f t="shared" si="24"/>
        <v>356010.03949999996</v>
      </c>
      <c r="AY55" s="37">
        <f t="shared" si="24"/>
        <v>366585.76716434676</v>
      </c>
      <c r="AZ55" s="37">
        <f t="shared" si="24"/>
        <v>372800.0120000001</v>
      </c>
      <c r="BA55" s="42">
        <f>SUM(AW55:AZ55)</f>
        <v>1427633.9299750621</v>
      </c>
      <c r="BC55" s="37">
        <f t="shared" si="25"/>
        <v>332238.11131071526</v>
      </c>
      <c r="BD55" s="37">
        <f t="shared" si="25"/>
        <v>688248.15081071528</v>
      </c>
      <c r="BE55" s="37">
        <f t="shared" si="25"/>
        <v>1054833.917975062</v>
      </c>
      <c r="BF55" s="37">
        <f t="shared" si="25"/>
        <v>1427633.9299750621</v>
      </c>
      <c r="BG55" s="37"/>
    </row>
    <row r="56" spans="1:59" x14ac:dyDescent="0.25">
      <c r="A56" s="49">
        <v>0.05</v>
      </c>
      <c r="B56" s="7" t="s">
        <v>101</v>
      </c>
      <c r="C56" t="s">
        <v>251</v>
      </c>
      <c r="D56" t="s">
        <v>241</v>
      </c>
      <c r="E56" t="s">
        <v>242</v>
      </c>
      <c r="F56" t="s">
        <v>243</v>
      </c>
      <c r="G56" t="s">
        <v>130</v>
      </c>
      <c r="H56" s="37"/>
      <c r="I56" s="37">
        <f t="shared" ref="I56:T56" si="28">I48*$A56</f>
        <v>0</v>
      </c>
      <c r="J56" s="37">
        <f t="shared" si="28"/>
        <v>0</v>
      </c>
      <c r="K56" s="37">
        <f t="shared" si="28"/>
        <v>0</v>
      </c>
      <c r="L56" s="37">
        <f t="shared" si="28"/>
        <v>0</v>
      </c>
      <c r="M56" s="37">
        <f t="shared" si="28"/>
        <v>0</v>
      </c>
      <c r="N56" s="37">
        <f t="shared" si="28"/>
        <v>0</v>
      </c>
      <c r="O56" s="37">
        <f t="shared" si="28"/>
        <v>0</v>
      </c>
      <c r="P56" s="37">
        <f t="shared" si="28"/>
        <v>0</v>
      </c>
      <c r="Q56" s="37">
        <f t="shared" si="28"/>
        <v>0</v>
      </c>
      <c r="R56" s="37">
        <f t="shared" si="28"/>
        <v>0</v>
      </c>
      <c r="S56" s="37">
        <f t="shared" si="28"/>
        <v>0</v>
      </c>
      <c r="T56" s="37">
        <f t="shared" si="28"/>
        <v>0</v>
      </c>
      <c r="U56" s="42">
        <f>SUM(I56:T56)</f>
        <v>0</v>
      </c>
      <c r="W56" s="37">
        <f t="shared" si="21"/>
        <v>0</v>
      </c>
      <c r="X56" s="37">
        <f t="shared" si="21"/>
        <v>0</v>
      </c>
      <c r="Y56" s="37">
        <f t="shared" si="21"/>
        <v>0</v>
      </c>
      <c r="Z56" s="37">
        <f t="shared" si="21"/>
        <v>0</v>
      </c>
      <c r="AA56" s="42">
        <f>SUM(W56:Z56)</f>
        <v>0</v>
      </c>
      <c r="AC56" s="37">
        <f t="shared" si="22"/>
        <v>0</v>
      </c>
      <c r="AD56" s="37">
        <f t="shared" si="22"/>
        <v>0</v>
      </c>
      <c r="AE56" s="37">
        <f t="shared" si="22"/>
        <v>0</v>
      </c>
      <c r="AF56" s="37">
        <f t="shared" si="22"/>
        <v>0</v>
      </c>
      <c r="AG56" s="37"/>
      <c r="AH56" s="37"/>
      <c r="AI56" s="37">
        <f t="shared" ref="AI56:AT56" si="29">AI48*$A56</f>
        <v>38239.061985862063</v>
      </c>
      <c r="AJ56" s="37">
        <f t="shared" si="29"/>
        <v>38037.423124999994</v>
      </c>
      <c r="AK56" s="37">
        <f t="shared" si="29"/>
        <v>39537.073000000004</v>
      </c>
      <c r="AL56" s="37">
        <f t="shared" si="29"/>
        <v>39380.493000000002</v>
      </c>
      <c r="AM56" s="37">
        <f t="shared" si="29"/>
        <v>39076.934499999996</v>
      </c>
      <c r="AN56" s="37">
        <f t="shared" si="29"/>
        <v>38574.261500000001</v>
      </c>
      <c r="AO56" s="37">
        <f t="shared" si="29"/>
        <v>39268.35</v>
      </c>
      <c r="AP56" s="37">
        <f t="shared" si="29"/>
        <v>37596.061500000003</v>
      </c>
      <c r="AQ56" s="37">
        <f t="shared" si="29"/>
        <v>38164.556000000004</v>
      </c>
      <c r="AR56" s="37">
        <f t="shared" si="29"/>
        <v>37268.167999999998</v>
      </c>
      <c r="AS56" s="37">
        <f t="shared" si="29"/>
        <v>31773.040499999992</v>
      </c>
      <c r="AT56" s="37">
        <f t="shared" si="29"/>
        <v>30358.312000000005</v>
      </c>
      <c r="AU56" s="42">
        <f>SUM(AI56:AT56)</f>
        <v>447273.73511086206</v>
      </c>
      <c r="AW56" s="37">
        <f t="shared" si="24"/>
        <v>115813.55811086207</v>
      </c>
      <c r="AX56" s="37">
        <f t="shared" si="24"/>
        <v>117031.689</v>
      </c>
      <c r="AY56" s="37">
        <f t="shared" si="24"/>
        <v>115028.96749999998</v>
      </c>
      <c r="AZ56" s="37">
        <f t="shared" si="24"/>
        <v>99399.52049999997</v>
      </c>
      <c r="BA56" s="42">
        <f>SUM(AW56:AZ56)</f>
        <v>447273.73511086201</v>
      </c>
      <c r="BC56" s="37">
        <f t="shared" si="25"/>
        <v>115813.55811086207</v>
      </c>
      <c r="BD56" s="37">
        <f t="shared" si="25"/>
        <v>232845.24711086205</v>
      </c>
      <c r="BE56" s="37">
        <f t="shared" si="25"/>
        <v>347874.21461086208</v>
      </c>
      <c r="BF56" s="37">
        <f t="shared" si="25"/>
        <v>447273.73511086201</v>
      </c>
      <c r="BG56" s="37"/>
    </row>
    <row r="57" spans="1:59" ht="15.75" thickBot="1" x14ac:dyDescent="0.3">
      <c r="B57" s="35" t="s">
        <v>235</v>
      </c>
      <c r="C57" s="35"/>
      <c r="D57" s="35"/>
      <c r="E57" s="35"/>
      <c r="F57" s="35"/>
      <c r="G57" s="35"/>
      <c r="H57" s="37"/>
      <c r="I57" s="43">
        <f>SUM(I54:I56)</f>
        <v>8240718.2839999981</v>
      </c>
      <c r="J57" s="43">
        <f t="shared" ref="J57:U57" si="30">SUM(J54:J56)</f>
        <v>7525854.4719999991</v>
      </c>
      <c r="K57" s="43">
        <f t="shared" si="30"/>
        <v>7767423.1720000021</v>
      </c>
      <c r="L57" s="43">
        <f t="shared" si="30"/>
        <v>0</v>
      </c>
      <c r="M57" s="43">
        <f t="shared" si="30"/>
        <v>0</v>
      </c>
      <c r="N57" s="43">
        <f t="shared" si="30"/>
        <v>0</v>
      </c>
      <c r="O57" s="43">
        <f t="shared" si="30"/>
        <v>0</v>
      </c>
      <c r="P57" s="43">
        <f t="shared" si="30"/>
        <v>0</v>
      </c>
      <c r="Q57" s="43">
        <f t="shared" si="30"/>
        <v>0</v>
      </c>
      <c r="R57" s="43">
        <f t="shared" si="30"/>
        <v>0</v>
      </c>
      <c r="S57" s="43">
        <f t="shared" si="30"/>
        <v>0</v>
      </c>
      <c r="T57" s="43">
        <f t="shared" si="30"/>
        <v>0</v>
      </c>
      <c r="U57" s="43">
        <f t="shared" si="30"/>
        <v>23533995.927999999</v>
      </c>
      <c r="W57" s="43">
        <f>SUM(W54:W56)</f>
        <v>23533995.927999999</v>
      </c>
      <c r="X57" s="43">
        <f>SUM(X54:X56)</f>
        <v>0</v>
      </c>
      <c r="Y57" s="43">
        <f>SUM(Y54:Y56)</f>
        <v>0</v>
      </c>
      <c r="Z57" s="43">
        <f>SUM(Z54:Z56)</f>
        <v>0</v>
      </c>
      <c r="AA57" s="43">
        <f>SUM(AA54:AA56)</f>
        <v>23533995.927999999</v>
      </c>
      <c r="AC57" s="43">
        <f>SUM(AC54:AC56)</f>
        <v>23533995.927999999</v>
      </c>
      <c r="AD57" s="43">
        <f>SUM(AD54:AD56)</f>
        <v>23533995.927999999</v>
      </c>
      <c r="AE57" s="43">
        <f>SUM(AE54:AE56)</f>
        <v>23533995.927999999</v>
      </c>
      <c r="AF57" s="43">
        <f>SUM(AF54:AF56)</f>
        <v>23533995.927999999</v>
      </c>
      <c r="AG57" s="37"/>
      <c r="AH57" s="37"/>
      <c r="AI57" s="43">
        <f>SUM(AI54:AI56)</f>
        <v>6550762.7895008624</v>
      </c>
      <c r="AJ57" s="43">
        <f t="shared" ref="AJ57:AU57" si="31">SUM(AJ54:AJ56)</f>
        <v>6360246.1206540447</v>
      </c>
      <c r="AK57" s="43">
        <f t="shared" si="31"/>
        <v>7087871.9369807616</v>
      </c>
      <c r="AL57" s="43">
        <f t="shared" si="31"/>
        <v>6965429.0914999982</v>
      </c>
      <c r="AM57" s="43">
        <f t="shared" si="31"/>
        <v>6941269.554473592</v>
      </c>
      <c r="AN57" s="43">
        <f t="shared" si="31"/>
        <v>7003752.1464999989</v>
      </c>
      <c r="AO57" s="43">
        <f t="shared" si="31"/>
        <v>6513273.7999999998</v>
      </c>
      <c r="AP57" s="43">
        <f t="shared" si="31"/>
        <v>7981592.9521643464</v>
      </c>
      <c r="AQ57" s="43">
        <f t="shared" si="31"/>
        <v>8983406.6208231989</v>
      </c>
      <c r="AR57" s="43">
        <f t="shared" si="31"/>
        <v>8658711.8580000009</v>
      </c>
      <c r="AS57" s="43">
        <f t="shared" si="31"/>
        <v>7518437.477500001</v>
      </c>
      <c r="AT57" s="43">
        <f t="shared" si="31"/>
        <v>8646993.1170000024</v>
      </c>
      <c r="AU57" s="43">
        <f t="shared" si="31"/>
        <v>89211747.465096831</v>
      </c>
      <c r="AW57" s="43">
        <f>SUM(AW54:AW56)</f>
        <v>15077690.771135671</v>
      </c>
      <c r="AX57" s="43">
        <f>SUM(AX54:AX56)</f>
        <v>19558160.568473589</v>
      </c>
      <c r="AY57" s="43">
        <f>SUM(AY54:AY56)</f>
        <v>20995492.572987549</v>
      </c>
      <c r="AZ57" s="43">
        <f>SUM(AZ54:AZ56)</f>
        <v>22116366.052500006</v>
      </c>
      <c r="BA57" s="43">
        <f>SUM(BA54:BA56)</f>
        <v>77747709.965096816</v>
      </c>
      <c r="BC57" s="43">
        <f>SUM(BC54:BC56)</f>
        <v>15077690.771135671</v>
      </c>
      <c r="BD57" s="43">
        <f>SUM(BD54:BD56)</f>
        <v>34635851.339609258</v>
      </c>
      <c r="BE57" s="43">
        <f>SUM(BE54:BE56)</f>
        <v>55631343.912596799</v>
      </c>
      <c r="BF57" s="43">
        <f>SUM(BF54:BF56)</f>
        <v>77747709.965096816</v>
      </c>
      <c r="BG57" s="37"/>
    </row>
    <row r="58" spans="1:59" ht="15.75" thickTop="1" x14ac:dyDescent="0.25"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AA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BA58" s="37"/>
      <c r="BG58" s="37"/>
    </row>
    <row r="59" spans="1:59" ht="15.75" thickBot="1" x14ac:dyDescent="0.3">
      <c r="B59" s="35" t="s">
        <v>236</v>
      </c>
      <c r="C59" s="35"/>
      <c r="D59" s="35"/>
      <c r="E59" s="35"/>
      <c r="F59" s="35"/>
      <c r="G59" s="35"/>
      <c r="H59" s="37"/>
      <c r="I59" s="43">
        <f t="shared" ref="I59:U59" si="32">+I44+I57</f>
        <v>109660475.79727092</v>
      </c>
      <c r="J59" s="43">
        <f t="shared" si="32"/>
        <v>101446364.55187972</v>
      </c>
      <c r="K59" s="43">
        <f t="shared" si="32"/>
        <v>103025780.02428162</v>
      </c>
      <c r="L59" s="43">
        <f t="shared" si="32"/>
        <v>0</v>
      </c>
      <c r="M59" s="43">
        <f t="shared" si="32"/>
        <v>0</v>
      </c>
      <c r="N59" s="43">
        <f t="shared" si="32"/>
        <v>0</v>
      </c>
      <c r="O59" s="43">
        <f t="shared" si="32"/>
        <v>0</v>
      </c>
      <c r="P59" s="43">
        <f t="shared" si="32"/>
        <v>0</v>
      </c>
      <c r="Q59" s="43">
        <f t="shared" si="32"/>
        <v>0</v>
      </c>
      <c r="R59" s="43">
        <f t="shared" si="32"/>
        <v>0</v>
      </c>
      <c r="S59" s="43">
        <f t="shared" si="32"/>
        <v>0</v>
      </c>
      <c r="T59" s="43">
        <f t="shared" si="32"/>
        <v>0</v>
      </c>
      <c r="U59" s="43">
        <f t="shared" si="32"/>
        <v>314132620.37343228</v>
      </c>
      <c r="W59" s="43">
        <f>+W44+W57</f>
        <v>314132620.37343228</v>
      </c>
      <c r="X59" s="43">
        <f>+X44+X57</f>
        <v>0</v>
      </c>
      <c r="Y59" s="43">
        <f>+Y44+Y57</f>
        <v>0</v>
      </c>
      <c r="Z59" s="43">
        <f>+Z44+Z57</f>
        <v>0</v>
      </c>
      <c r="AA59" s="43">
        <f>+AA44+AA57</f>
        <v>314132620.37343228</v>
      </c>
      <c r="AC59" s="43">
        <f>+AC44+AC57</f>
        <v>314132620.37343228</v>
      </c>
      <c r="AD59" s="43">
        <f>+AD44+AD57</f>
        <v>314132620.37343228</v>
      </c>
      <c r="AE59" s="43">
        <f>+AE44+AE57</f>
        <v>314132620.37343228</v>
      </c>
      <c r="AF59" s="43">
        <f>+AF44+AF57</f>
        <v>314132620.37343228</v>
      </c>
      <c r="AG59" s="37"/>
      <c r="AH59" s="37"/>
      <c r="AI59" s="43">
        <f t="shared" ref="AI59:AU59" si="33">+AI44+AI57</f>
        <v>87793015.620443344</v>
      </c>
      <c r="AJ59" s="43">
        <f t="shared" si="33"/>
        <v>77636201.343627691</v>
      </c>
      <c r="AK59" s="43">
        <f t="shared" si="33"/>
        <v>81821466.457087636</v>
      </c>
      <c r="AL59" s="43">
        <f t="shared" si="33"/>
        <v>85067177.288062558</v>
      </c>
      <c r="AM59" s="43">
        <f t="shared" si="33"/>
        <v>84346316.543493107</v>
      </c>
      <c r="AN59" s="43">
        <f t="shared" si="33"/>
        <v>85641326.300120771</v>
      </c>
      <c r="AO59" s="43">
        <f t="shared" si="33"/>
        <v>87600162.579999998</v>
      </c>
      <c r="AP59" s="43">
        <f t="shared" si="33"/>
        <v>94059812.180520624</v>
      </c>
      <c r="AQ59" s="43">
        <f t="shared" si="33"/>
        <v>97939270.123110458</v>
      </c>
      <c r="AR59" s="43">
        <f t="shared" si="33"/>
        <v>97794816.873813659</v>
      </c>
      <c r="AS59" s="43">
        <f t="shared" si="33"/>
        <v>94934521.54807052</v>
      </c>
      <c r="AT59" s="43">
        <f t="shared" si="33"/>
        <v>101974445.23747186</v>
      </c>
      <c r="AU59" s="43">
        <f t="shared" si="33"/>
        <v>1076608532.0958223</v>
      </c>
      <c r="AW59" s="43">
        <f>+AW44+AW57</f>
        <v>242329493.34515861</v>
      </c>
      <c r="AX59" s="43">
        <f>+AX44+AX57</f>
        <v>253702529.9076764</v>
      </c>
      <c r="AY59" s="43">
        <f>+AY44+AY57</f>
        <v>277116464.0836311</v>
      </c>
      <c r="AZ59" s="43">
        <f>+AZ44+AZ57</f>
        <v>291996007.25935608</v>
      </c>
      <c r="BA59" s="43">
        <f>+BA44+BA57</f>
        <v>2578541891.9440479</v>
      </c>
      <c r="BC59" s="43">
        <f>+BC44+BC57</f>
        <v>242329493.34515861</v>
      </c>
      <c r="BD59" s="43">
        <f>+BD44+BD57</f>
        <v>496032023.25283486</v>
      </c>
      <c r="BE59" s="43">
        <f>+BE44+BE57</f>
        <v>773148487.33646631</v>
      </c>
      <c r="BF59" s="43">
        <f>+BF44+BF57</f>
        <v>1065144494.5958222</v>
      </c>
      <c r="BG59" s="37"/>
    </row>
    <row r="60" spans="1:59" ht="15.75" thickTop="1" x14ac:dyDescent="0.25"/>
  </sheetData>
  <mergeCells count="6">
    <mergeCell ref="BC4:BF4"/>
    <mergeCell ref="I4:U4"/>
    <mergeCell ref="W4:AA4"/>
    <mergeCell ref="AC4:AF4"/>
    <mergeCell ref="AI4:AU4"/>
    <mergeCell ref="AW4:B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5E5C-429A-4F34-BA9E-7786F3E18FE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40"/>
  <sheetViews>
    <sheetView topLeftCell="A2" workbookViewId="0">
      <selection activeCell="D3" sqref="D3:F38"/>
    </sheetView>
  </sheetViews>
  <sheetFormatPr baseColWidth="10" defaultRowHeight="15" x14ac:dyDescent="0.25"/>
  <cols>
    <col min="4" max="15" width="14.42578125" customWidth="1"/>
  </cols>
  <sheetData>
    <row r="2" spans="2:15" x14ac:dyDescent="0.25">
      <c r="B2" s="50" t="s">
        <v>255</v>
      </c>
      <c r="C2" s="50" t="s">
        <v>286</v>
      </c>
      <c r="D2" s="54">
        <v>44197</v>
      </c>
      <c r="E2" s="54">
        <v>44228</v>
      </c>
      <c r="F2" s="54">
        <v>44256</v>
      </c>
      <c r="G2" s="54">
        <v>44287</v>
      </c>
      <c r="H2" s="54">
        <v>44317</v>
      </c>
      <c r="I2" s="54">
        <v>44348</v>
      </c>
      <c r="J2" s="54">
        <v>44378</v>
      </c>
      <c r="K2" s="54">
        <v>44409</v>
      </c>
      <c r="L2" s="54">
        <v>44440</v>
      </c>
      <c r="M2" s="54">
        <v>44470</v>
      </c>
      <c r="N2" s="54">
        <v>44501</v>
      </c>
      <c r="O2" s="54">
        <v>44531</v>
      </c>
    </row>
    <row r="3" spans="2:15" x14ac:dyDescent="0.25">
      <c r="B3" s="51" t="s">
        <v>256</v>
      </c>
      <c r="C3" s="51" t="s">
        <v>20</v>
      </c>
      <c r="D3" s="55">
        <v>1089420.3267413788</v>
      </c>
      <c r="E3" s="55">
        <v>914560.78398275794</v>
      </c>
      <c r="F3" s="55">
        <v>947234.21000000031</v>
      </c>
      <c r="G3" s="55">
        <v>0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</row>
    <row r="4" spans="2:15" x14ac:dyDescent="0.25">
      <c r="B4" s="52" t="s">
        <v>257</v>
      </c>
      <c r="C4" s="52" t="s">
        <v>14</v>
      </c>
      <c r="D4" s="56">
        <v>8506050.2400000021</v>
      </c>
      <c r="E4" s="56">
        <v>3936901.6600000011</v>
      </c>
      <c r="F4" s="56">
        <v>3954395.700000002</v>
      </c>
      <c r="G4" s="56">
        <v>0</v>
      </c>
      <c r="H4" s="56">
        <v>0</v>
      </c>
      <c r="I4" s="56">
        <v>0</v>
      </c>
      <c r="J4" s="56">
        <v>0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</row>
    <row r="5" spans="2:15" x14ac:dyDescent="0.25">
      <c r="B5" s="51" t="s">
        <v>258</v>
      </c>
      <c r="C5" s="51" t="s">
        <v>40</v>
      </c>
      <c r="D5" s="55">
        <v>2687542.1934999274</v>
      </c>
      <c r="E5" s="55">
        <v>2659468.8686949676</v>
      </c>
      <c r="F5" s="55">
        <v>2761483.1906564496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</row>
    <row r="6" spans="2:15" x14ac:dyDescent="0.25">
      <c r="B6" s="52" t="s">
        <v>259</v>
      </c>
      <c r="C6" s="52" t="s">
        <v>33</v>
      </c>
      <c r="D6" s="56">
        <v>3182572.6146164909</v>
      </c>
      <c r="E6" s="56">
        <v>2729148.9850059981</v>
      </c>
      <c r="F6" s="56">
        <v>3097500.54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</row>
    <row r="7" spans="2:15" x14ac:dyDescent="0.25">
      <c r="B7" s="51" t="s">
        <v>260</v>
      </c>
      <c r="C7" s="51" t="s">
        <v>35</v>
      </c>
      <c r="D7" s="55">
        <v>2420143.7278125938</v>
      </c>
      <c r="E7" s="55">
        <v>2269566.0408620695</v>
      </c>
      <c r="F7" s="55">
        <v>2215425.8621370322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</row>
    <row r="8" spans="2:15" x14ac:dyDescent="0.25">
      <c r="B8" s="52" t="s">
        <v>254</v>
      </c>
      <c r="C8" s="52" t="s">
        <v>95</v>
      </c>
      <c r="D8" s="56">
        <v>15959599.404212618</v>
      </c>
      <c r="E8" s="56">
        <v>15566682.470072612</v>
      </c>
      <c r="F8" s="56">
        <v>17350791.069999997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</row>
    <row r="9" spans="2:15" x14ac:dyDescent="0.25">
      <c r="B9" s="51" t="s">
        <v>261</v>
      </c>
      <c r="C9" s="51" t="s">
        <v>29</v>
      </c>
      <c r="D9" s="55">
        <v>7747772.1488965526</v>
      </c>
      <c r="E9" s="55">
        <v>2603069.6606206931</v>
      </c>
      <c r="F9" s="55">
        <v>3680456.2000000011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</row>
    <row r="10" spans="2:15" x14ac:dyDescent="0.25">
      <c r="B10" s="52" t="s">
        <v>262</v>
      </c>
      <c r="C10" s="52" t="s">
        <v>48</v>
      </c>
      <c r="D10" s="56">
        <v>1842746.7009567916</v>
      </c>
      <c r="E10" s="56">
        <v>1182416.3545310346</v>
      </c>
      <c r="F10" s="56">
        <v>1810782.7091218389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</row>
    <row r="11" spans="2:15" x14ac:dyDescent="0.25">
      <c r="B11" s="51" t="s">
        <v>263</v>
      </c>
      <c r="C11" s="51" t="s">
        <v>51</v>
      </c>
      <c r="D11" s="55">
        <v>1110458.1199999996</v>
      </c>
      <c r="E11" s="55">
        <v>1248553.6599999999</v>
      </c>
      <c r="F11" s="55">
        <v>1209022.2799999998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</row>
    <row r="12" spans="2:15" x14ac:dyDescent="0.25">
      <c r="B12" s="52" t="s">
        <v>264</v>
      </c>
      <c r="C12" s="52" t="s">
        <v>17</v>
      </c>
      <c r="D12" s="56">
        <v>3526690.47</v>
      </c>
      <c r="E12" s="56">
        <v>3769204.4700000007</v>
      </c>
      <c r="F12" s="56">
        <v>3185313.9999999995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</row>
    <row r="13" spans="2:15" x14ac:dyDescent="0.25">
      <c r="B13" s="51" t="s">
        <v>265</v>
      </c>
      <c r="C13" s="51" t="s">
        <v>68</v>
      </c>
      <c r="D13" s="55">
        <v>1409703.74</v>
      </c>
      <c r="E13" s="55">
        <v>1710915.79</v>
      </c>
      <c r="F13" s="55">
        <v>1574407.9200000002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</row>
    <row r="14" spans="2:15" x14ac:dyDescent="0.25">
      <c r="B14" s="52" t="s">
        <v>266</v>
      </c>
      <c r="C14" s="52" t="s">
        <v>53</v>
      </c>
      <c r="D14" s="56">
        <v>4789595.4200000009</v>
      </c>
      <c r="E14" s="56">
        <v>4533513.4700000025</v>
      </c>
      <c r="F14" s="56">
        <v>4311482.6800000016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2:15" x14ac:dyDescent="0.25">
      <c r="B15" s="51" t="s">
        <v>267</v>
      </c>
      <c r="C15" s="51" t="s">
        <v>66</v>
      </c>
      <c r="D15" s="55">
        <v>882054.51</v>
      </c>
      <c r="E15" s="55">
        <v>881744.16</v>
      </c>
      <c r="F15" s="55">
        <v>961030.37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</row>
    <row r="16" spans="2:15" x14ac:dyDescent="0.25">
      <c r="B16" s="52" t="s">
        <v>268</v>
      </c>
      <c r="C16" s="52" t="s">
        <v>63</v>
      </c>
      <c r="D16" s="56">
        <v>1675413.9000000001</v>
      </c>
      <c r="E16" s="56">
        <v>1676300.73</v>
      </c>
      <c r="F16" s="56">
        <v>1676321.34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</row>
    <row r="17" spans="2:15" x14ac:dyDescent="0.25">
      <c r="B17" s="51" t="s">
        <v>269</v>
      </c>
      <c r="C17" s="51" t="s">
        <v>73</v>
      </c>
      <c r="D17" s="55">
        <v>697011.08999999985</v>
      </c>
      <c r="E17" s="55">
        <v>666669.49</v>
      </c>
      <c r="F17" s="55">
        <v>960003.66000000015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</row>
    <row r="18" spans="2:15" x14ac:dyDescent="0.25">
      <c r="B18" s="52" t="s">
        <v>270</v>
      </c>
      <c r="C18" s="52" t="s">
        <v>78</v>
      </c>
      <c r="D18" s="56">
        <v>2116319.1093992004</v>
      </c>
      <c r="E18" s="56">
        <v>2094249.6594357826</v>
      </c>
      <c r="F18" s="56">
        <v>2176352.84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</row>
    <row r="19" spans="2:15" x14ac:dyDescent="0.25">
      <c r="B19" s="51" t="s">
        <v>271</v>
      </c>
      <c r="C19" s="51" t="s">
        <v>81</v>
      </c>
      <c r="D19" s="55">
        <v>1277677.0399999998</v>
      </c>
      <c r="E19" s="55">
        <v>1436198.5900000003</v>
      </c>
      <c r="F19" s="55">
        <v>1362126.96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</row>
    <row r="20" spans="2:15" x14ac:dyDescent="0.25">
      <c r="B20" s="52" t="s">
        <v>272</v>
      </c>
      <c r="C20" s="52" t="s">
        <v>87</v>
      </c>
      <c r="D20" s="56">
        <v>440955.37999999989</v>
      </c>
      <c r="E20" s="56">
        <v>344455.9600000002</v>
      </c>
      <c r="F20" s="56">
        <v>724870.8200000003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</row>
    <row r="21" spans="2:15" x14ac:dyDescent="0.25">
      <c r="B21" s="51" t="s">
        <v>273</v>
      </c>
      <c r="C21" s="51" t="s">
        <v>89</v>
      </c>
      <c r="D21" s="55">
        <v>4289236.4850793099</v>
      </c>
      <c r="E21" s="55">
        <v>4252843.0200000014</v>
      </c>
      <c r="F21" s="55">
        <v>4181129.6899999995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</row>
    <row r="22" spans="2:15" x14ac:dyDescent="0.25">
      <c r="B22" s="52" t="s">
        <v>274</v>
      </c>
      <c r="C22" s="52" t="s">
        <v>23</v>
      </c>
      <c r="D22" s="56">
        <v>3757928.9899999988</v>
      </c>
      <c r="E22" s="56">
        <v>3545434.2399999993</v>
      </c>
      <c r="F22" s="56">
        <v>3719984.46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</row>
    <row r="23" spans="2:15" x14ac:dyDescent="0.25">
      <c r="B23" s="51" t="s">
        <v>275</v>
      </c>
      <c r="C23" s="51" t="s">
        <v>59</v>
      </c>
      <c r="D23" s="55">
        <v>1161209.1553541219</v>
      </c>
      <c r="E23" s="55">
        <v>1313303.8601739819</v>
      </c>
      <c r="F23" s="55">
        <v>807067.30029265268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</row>
    <row r="24" spans="2:15" x14ac:dyDescent="0.25">
      <c r="B24" s="52" t="s">
        <v>276</v>
      </c>
      <c r="C24" s="52" t="s">
        <v>43</v>
      </c>
      <c r="D24" s="56">
        <v>2142803.4099999997</v>
      </c>
      <c r="E24" s="56">
        <v>1562571.7099999997</v>
      </c>
      <c r="F24" s="56">
        <v>2144862.5300000003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</row>
    <row r="25" spans="2:15" x14ac:dyDescent="0.25">
      <c r="B25" s="51" t="s">
        <v>277</v>
      </c>
      <c r="C25" s="51" t="s">
        <v>26</v>
      </c>
      <c r="D25" s="55">
        <v>4198255.2100000009</v>
      </c>
      <c r="E25" s="55">
        <v>4132992.4700000007</v>
      </c>
      <c r="F25" s="55">
        <v>3558225.4000000004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</row>
    <row r="26" spans="2:15" x14ac:dyDescent="0.25">
      <c r="B26" s="52" t="s">
        <v>278</v>
      </c>
      <c r="C26" s="52" t="s">
        <v>46</v>
      </c>
      <c r="D26" s="56">
        <v>1321793.4511449481</v>
      </c>
      <c r="E26" s="56">
        <v>1426314.1013835955</v>
      </c>
      <c r="F26" s="56">
        <v>2480426.0697819856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</row>
    <row r="27" spans="2:15" x14ac:dyDescent="0.25">
      <c r="B27" s="51" t="s">
        <v>279</v>
      </c>
      <c r="C27" s="51" t="s">
        <v>8</v>
      </c>
      <c r="D27" s="55">
        <v>380306.62999999942</v>
      </c>
      <c r="E27" s="55">
        <v>1530815.4799999986</v>
      </c>
      <c r="F27" s="55">
        <v>3070199.2700000009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</row>
    <row r="28" spans="2:15" x14ac:dyDescent="0.25">
      <c r="B28" s="52" t="s">
        <v>280</v>
      </c>
      <c r="C28" s="52" t="s">
        <v>61</v>
      </c>
      <c r="D28" s="56">
        <v>939323.05620689667</v>
      </c>
      <c r="E28" s="56">
        <v>1183708.0600000003</v>
      </c>
      <c r="F28" s="56">
        <v>848563.79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</row>
    <row r="29" spans="2:15" x14ac:dyDescent="0.25">
      <c r="B29" s="51" t="s">
        <v>281</v>
      </c>
      <c r="C29" s="51" t="s">
        <v>11</v>
      </c>
      <c r="D29" s="55">
        <v>5538383.0609605517</v>
      </c>
      <c r="E29" s="55">
        <v>5752224.46</v>
      </c>
      <c r="F29" s="55">
        <v>5646779.1836285433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</row>
    <row r="30" spans="2:15" x14ac:dyDescent="0.25">
      <c r="B30" s="52" t="s">
        <v>282</v>
      </c>
      <c r="C30" s="52" t="s">
        <v>37</v>
      </c>
      <c r="D30" s="56">
        <v>2678890.58</v>
      </c>
      <c r="E30" s="56">
        <v>3489125.7440520003</v>
      </c>
      <c r="F30" s="56">
        <v>2952241.0180172417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  <row r="31" spans="2:15" x14ac:dyDescent="0.25">
      <c r="B31" s="51" t="s">
        <v>283</v>
      </c>
      <c r="C31" s="51" t="s">
        <v>31</v>
      </c>
      <c r="D31" s="55">
        <v>3976377.8780322392</v>
      </c>
      <c r="E31" s="55">
        <v>3846411.4930628007</v>
      </c>
      <c r="F31" s="55">
        <v>3952920.266712266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</row>
    <row r="32" spans="2:15" x14ac:dyDescent="0.25">
      <c r="B32" s="52" t="s">
        <v>284</v>
      </c>
      <c r="C32" s="52" t="s">
        <v>71</v>
      </c>
      <c r="D32" s="56">
        <v>402499.46000000008</v>
      </c>
      <c r="E32" s="56">
        <v>408668.1551909605</v>
      </c>
      <c r="F32" s="56">
        <v>310181.72000000009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</row>
    <row r="33" spans="2:15" x14ac:dyDescent="0.25">
      <c r="B33" s="51" t="s">
        <v>285</v>
      </c>
      <c r="C33" s="51" t="s">
        <v>56</v>
      </c>
      <c r="D33" s="55">
        <v>614600.97</v>
      </c>
      <c r="E33" s="55">
        <v>420472.44000000006</v>
      </c>
      <c r="F33" s="55">
        <v>327863.51000000013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</row>
    <row r="34" spans="2:15" x14ac:dyDescent="0.25">
      <c r="B34" s="52" t="s">
        <v>253</v>
      </c>
      <c r="C34" s="52" t="s">
        <v>76</v>
      </c>
      <c r="D34" s="56">
        <v>1797224.8655748083</v>
      </c>
      <c r="E34" s="56">
        <v>1104975.4099999999</v>
      </c>
      <c r="F34" s="56">
        <v>1394248.6700000002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</row>
    <row r="35" spans="2:15" x14ac:dyDescent="0.25">
      <c r="B35" s="51" t="s">
        <v>215</v>
      </c>
      <c r="C35" s="51" t="s">
        <v>83</v>
      </c>
      <c r="D35" s="55">
        <v>1056162.1366666667</v>
      </c>
      <c r="E35" s="55">
        <v>1241848.7859770115</v>
      </c>
      <c r="F35" s="55">
        <v>1094281.3797588295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</row>
    <row r="36" spans="2:15" x14ac:dyDescent="0.25">
      <c r="B36" s="52" t="s">
        <v>217</v>
      </c>
      <c r="C36" s="52" t="s">
        <v>85</v>
      </c>
      <c r="D36" s="56">
        <v>1585130.7600000002</v>
      </c>
      <c r="E36" s="56">
        <v>1407307.4600000002</v>
      </c>
      <c r="F36" s="56">
        <v>1641408.9799999997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</row>
    <row r="37" spans="2:15" x14ac:dyDescent="0.25">
      <c r="B37" s="51" t="s">
        <v>252</v>
      </c>
      <c r="C37" s="51" t="s">
        <v>98</v>
      </c>
      <c r="D37" s="55">
        <v>2573679.3165990566</v>
      </c>
      <c r="E37" s="55">
        <v>1910714.1899999995</v>
      </c>
      <c r="F37" s="55">
        <v>2160368.719615249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</row>
    <row r="38" spans="2:15" ht="15.75" thickBot="1" x14ac:dyDescent="0.3">
      <c r="B38" s="52" t="s">
        <v>251</v>
      </c>
      <c r="C38" s="52" t="s">
        <v>101</v>
      </c>
      <c r="D38" s="56">
        <v>764781.23971724126</v>
      </c>
      <c r="E38" s="56">
        <v>760748.46249999991</v>
      </c>
      <c r="F38" s="56">
        <v>790741.46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</row>
    <row r="39" spans="2:15" ht="15.75" thickTop="1" x14ac:dyDescent="0.25">
      <c r="B39" s="53" t="s">
        <v>231</v>
      </c>
      <c r="C39" s="53" t="s">
        <v>231</v>
      </c>
      <c r="D39" s="57">
        <f>SUM(D3:D38)</f>
        <v>100540312.79147139</v>
      </c>
      <c r="E39" s="57">
        <f t="shared" ref="E39:O39" si="0">SUM(E3:E38)</f>
        <v>89514100.345546246</v>
      </c>
      <c r="F39" s="57">
        <f t="shared" si="0"/>
        <v>95040495.769722119</v>
      </c>
      <c r="G39" s="57">
        <f t="shared" si="0"/>
        <v>0</v>
      </c>
      <c r="H39" s="57">
        <f t="shared" si="0"/>
        <v>0</v>
      </c>
      <c r="I39" s="57">
        <f t="shared" si="0"/>
        <v>0</v>
      </c>
      <c r="J39" s="57">
        <f t="shared" si="0"/>
        <v>0</v>
      </c>
      <c r="K39" s="57">
        <f t="shared" si="0"/>
        <v>0</v>
      </c>
      <c r="L39" s="57">
        <f t="shared" si="0"/>
        <v>0</v>
      </c>
      <c r="M39" s="57">
        <f t="shared" si="0"/>
        <v>0</v>
      </c>
      <c r="N39" s="57">
        <f t="shared" si="0"/>
        <v>0</v>
      </c>
      <c r="O39" s="57">
        <f t="shared" si="0"/>
        <v>0</v>
      </c>
    </row>
    <row r="40" spans="2:15" x14ac:dyDescent="0.25">
      <c r="D40" s="58">
        <f>D39-NOI!I51</f>
        <v>-21481240.431799531</v>
      </c>
      <c r="E40" s="58">
        <f>E39-NOI!J51</f>
        <v>-23221045.914333463</v>
      </c>
      <c r="F40" s="58">
        <f>F39-NOI!K51</f>
        <v>-19636419.012559503</v>
      </c>
      <c r="G40" s="58">
        <f>G39-NOI!L51</f>
        <v>0</v>
      </c>
      <c r="H40" s="58">
        <f>H39-NOI!M51</f>
        <v>0</v>
      </c>
      <c r="I40" s="58">
        <f>I39-NOI!N51</f>
        <v>0</v>
      </c>
      <c r="J40" s="58">
        <f>J39-NOI!O51</f>
        <v>0</v>
      </c>
      <c r="K40" s="58">
        <f>K39-NOI!P51</f>
        <v>0</v>
      </c>
      <c r="L40" s="58">
        <f>L39-NOI!Q51</f>
        <v>0</v>
      </c>
      <c r="M40" s="58">
        <f>M39-NOI!R51</f>
        <v>0</v>
      </c>
      <c r="N40" s="58">
        <f>N39-NOI!S51</f>
        <v>0</v>
      </c>
      <c r="O40" s="58">
        <f>O39-NOI!T51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6C63293F3D14BAC924487A4B26B51" ma:contentTypeVersion="12" ma:contentTypeDescription="Create a new document." ma:contentTypeScope="" ma:versionID="e96728a4f3c0296b30a68228d2a581c8">
  <xsd:schema xmlns:xsd="http://www.w3.org/2001/XMLSchema" xmlns:xs="http://www.w3.org/2001/XMLSchema" xmlns:p="http://schemas.microsoft.com/office/2006/metadata/properties" xmlns:ns3="2423ce26-17b8-4582-90c7-59a7c015f21a" xmlns:ns4="013d15fa-517c-43e2-960c-b83e8b3f2d09" targetNamespace="http://schemas.microsoft.com/office/2006/metadata/properties" ma:root="true" ma:fieldsID="0b068a8039f4bd619ae5c299a840d62e" ns3:_="" ns4:_="">
    <xsd:import namespace="2423ce26-17b8-4582-90c7-59a7c015f21a"/>
    <xsd:import namespace="013d15fa-517c-43e2-960c-b83e8b3f2d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3ce26-17b8-4582-90c7-59a7c015f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d15fa-517c-43e2-960c-b83e8b3f2d0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1333E-3052-4313-ACF4-DB7D787B0CB6}">
  <ds:schemaRefs>
    <ds:schemaRef ds:uri="http://purl.org/dc/terms/"/>
    <ds:schemaRef ds:uri="013d15fa-517c-43e2-960c-b83e8b3f2d09"/>
    <ds:schemaRef ds:uri="http://schemas.openxmlformats.org/package/2006/metadata/core-properties"/>
    <ds:schemaRef ds:uri="http://purl.org/dc/elements/1.1/"/>
    <ds:schemaRef ds:uri="2423ce26-17b8-4582-90c7-59a7c015f21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EFCD6E-5EB9-4C5E-9D13-335DD42AA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3ce26-17b8-4582-90c7-59a7c015f21a"/>
    <ds:schemaRef ds:uri="013d15fa-517c-43e2-960c-b83e8b3f2d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5A0294-A473-44B3-A485-6EAC7A829E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Control</vt:lpstr>
      <vt:lpstr>Ingresos PR</vt:lpstr>
      <vt:lpstr>Comparativo</vt:lpstr>
      <vt:lpstr>Ingresos Arrendamiento</vt:lpstr>
      <vt:lpstr>NOI</vt:lpstr>
      <vt:lpstr>Hoja1</vt:lpstr>
      <vt:lpstr>Hoja5</vt:lpstr>
      <vt:lpstr>CY</vt:lpstr>
      <vt:lpstr>PY</vt:lpstr>
      <vt:lpstr>PY_QUARTER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Martinez Garcia</dc:creator>
  <cp:lastModifiedBy>Miguel Angel Martinez Garcia</cp:lastModifiedBy>
  <dcterms:created xsi:type="dcterms:W3CDTF">2021-02-04T22:55:57Z</dcterms:created>
  <dcterms:modified xsi:type="dcterms:W3CDTF">2022-04-22T01:12:34Z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0x010100AF46C63293F3D14BAC924487A4B26B51</vt:lpwstr>
  </property>
</Properties>
</file>